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onteceneri\Amministrazione\Commesse pubbliche\2024\"/>
    </mc:Choice>
  </mc:AlternateContent>
  <xr:revisionPtr revIDLastSave="0" documentId="13_ncr:1_{773F09F8-5C32-45D4-9689-BB153B8DF8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 ufficiale" sheetId="1" r:id="rId1"/>
  </sheets>
  <definedNames>
    <definedName name="_xlnm._FilterDatabase" localSheetId="0" hidden="1">'Lista ufficiale'!$A$11:$G$11</definedName>
    <definedName name="_xlnm.Print_Titles" localSheetId="0">'Lista ufficiale'!$1:$11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9" i="1"/>
  <c r="G105" i="1"/>
  <c r="G99" i="1"/>
  <c r="G98" i="1"/>
  <c r="G97" i="1"/>
  <c r="G96" i="1"/>
  <c r="G89" i="1"/>
  <c r="G109" i="1" l="1"/>
  <c r="G108" i="1"/>
  <c r="G107" i="1"/>
  <c r="G106" i="1"/>
  <c r="G104" i="1"/>
  <c r="G103" i="1"/>
  <c r="G102" i="1"/>
  <c r="G101" i="1"/>
  <c r="G100" i="1"/>
  <c r="G95" i="1"/>
  <c r="G94" i="1"/>
  <c r="G93" i="1"/>
  <c r="G92" i="1"/>
  <c r="G91" i="1"/>
  <c r="G90" i="1"/>
  <c r="G22" i="1"/>
  <c r="G19" i="1"/>
  <c r="G18" i="1"/>
  <c r="G88" i="1"/>
  <c r="G87" i="1"/>
  <c r="G86" i="1"/>
  <c r="G85" i="1"/>
  <c r="G84" i="1"/>
  <c r="G83" i="1"/>
  <c r="G82" i="1"/>
  <c r="G81" i="1"/>
  <c r="G80" i="1"/>
  <c r="G78" i="1"/>
  <c r="G77" i="1"/>
  <c r="G76" i="1"/>
  <c r="G74" i="1"/>
  <c r="G75" i="1"/>
  <c r="G73" i="1"/>
  <c r="G72" i="1"/>
  <c r="G71" i="1"/>
  <c r="G69" i="1"/>
  <c r="G70" i="1"/>
  <c r="G68" i="1"/>
  <c r="G67" i="1"/>
  <c r="G66" i="1"/>
  <c r="G65" i="1"/>
  <c r="G64" i="1"/>
  <c r="G63" i="1"/>
  <c r="G62" i="1"/>
  <c r="G61" i="1"/>
  <c r="G60" i="1"/>
  <c r="G58" i="1"/>
  <c r="G59" i="1"/>
  <c r="G57" i="1"/>
  <c r="G56" i="1"/>
  <c r="G55" i="1"/>
  <c r="G54" i="1"/>
  <c r="G53" i="1"/>
  <c r="G50" i="1"/>
  <c r="G48" i="1"/>
  <c r="G49" i="1"/>
  <c r="G47" i="1"/>
  <c r="G46" i="1"/>
  <c r="G45" i="1"/>
  <c r="G44" i="1"/>
  <c r="G43" i="1"/>
  <c r="G41" i="1"/>
  <c r="G42" i="1"/>
  <c r="G39" i="1"/>
  <c r="G40" i="1"/>
  <c r="G38" i="1"/>
  <c r="G34" i="1"/>
  <c r="G37" i="1"/>
  <c r="G36" i="1"/>
  <c r="G35" i="1"/>
  <c r="G33" i="1"/>
  <c r="G32" i="1"/>
  <c r="G31" i="1"/>
  <c r="G30" i="1"/>
  <c r="G28" i="1"/>
  <c r="G27" i="1"/>
  <c r="G25" i="1"/>
  <c r="G26" i="1"/>
  <c r="G24" i="1"/>
  <c r="G21" i="1"/>
  <c r="G23" i="1"/>
  <c r="G17" i="1"/>
  <c r="G15" i="1"/>
  <c r="G16" i="1"/>
  <c r="G14" i="1"/>
  <c r="G13" i="1" l="1"/>
  <c r="G12" i="1"/>
</calcChain>
</file>

<file path=xl/sharedStrings.xml><?xml version="1.0" encoding="utf-8"?>
<sst xmlns="http://schemas.openxmlformats.org/spreadsheetml/2006/main" count="502" uniqueCount="185">
  <si>
    <t>COMUNE DI MONTECENERI</t>
  </si>
  <si>
    <t>(art.7 cpv.5 LCPubb)</t>
  </si>
  <si>
    <t>Data aggiudicazione</t>
  </si>
  <si>
    <t>Tipo Commessa</t>
  </si>
  <si>
    <t>Tipo procedura</t>
  </si>
  <si>
    <t>Tipo prestazione</t>
  </si>
  <si>
    <t>Deliberatario</t>
  </si>
  <si>
    <t>Colonna da nascondere</t>
  </si>
  <si>
    <t>Commessa edile secondaria</t>
  </si>
  <si>
    <t>Commessa edile primaria</t>
  </si>
  <si>
    <t>Prestazione di servizio</t>
  </si>
  <si>
    <t>Importo CHF (IVA inclusa)</t>
  </si>
  <si>
    <t>Bulloni Costruzioni Sagl, 6809 Isone</t>
  </si>
  <si>
    <t>Galli costruzioni SA,
6802 Rivera</t>
  </si>
  <si>
    <t>Prestazioni di servizio</t>
  </si>
  <si>
    <t>Fornitura di olio combustibile per gli stabili comunali</t>
  </si>
  <si>
    <t>Migrol SA,
2610 Saint-Imier</t>
  </si>
  <si>
    <t>7networks SAGL, 6828 Manno</t>
  </si>
  <si>
    <t>Importo CHF 
(IVA esclusa)</t>
  </si>
  <si>
    <t>Edilstrada SA, via Industria 2, 6807 Taverne</t>
  </si>
  <si>
    <t>Camponovo Sanitari Sagl, via Roncaccio 9, 6802 Rivera</t>
  </si>
  <si>
    <t>Dick &amp; Figli SA, via G. Buffi 10, 6900 Lugano</t>
  </si>
  <si>
    <t>Manz Isolazioni SA, Zona Industriale 3, 6805 Mezzovico</t>
  </si>
  <si>
    <t>Posa di due asciugacapelli presso la palestra della scuola elementare di Bironico</t>
  </si>
  <si>
    <t>Bouygues Energies &amp; Services InTec Svizzera SA, Via Cantonale 6, 6805 Mezzovico-Vira</t>
  </si>
  <si>
    <t>Allestimento dello studio preliminare di moderazione del traffico della strada cantonale di Bironico</t>
  </si>
  <si>
    <t>Studio Allievi SA, Via Bartolomeo Papio 5, 6612 Ascona</t>
  </si>
  <si>
    <t>Servizio di ritiro e smaltimento degli scarti vegetali</t>
  </si>
  <si>
    <t>Smaltimento della documentazione degli archivi degli ex Comuni classificata dall'Archivio cantonale come da distruggere</t>
  </si>
  <si>
    <t>Datarec Ticino SA, via alla Stampa 18,  6965 Lugano – Cadro</t>
  </si>
  <si>
    <r>
      <t xml:space="preserve">Lista delle commesse dell'anno </t>
    </r>
    <r>
      <rPr>
        <sz val="12"/>
        <color rgb="FFFF0000"/>
        <rFont val="Calibri"/>
        <family val="2"/>
        <scheme val="minor"/>
      </rPr>
      <t>2024</t>
    </r>
    <r>
      <rPr>
        <sz val="12"/>
        <color theme="1"/>
        <rFont val="Calibri"/>
        <family val="2"/>
        <scheme val="minor"/>
      </rPr>
      <t xml:space="preserve"> aggiudicate ad invito o incarico con importi superiori a Fr. 5'000.00 (IVA esclusa)</t>
    </r>
  </si>
  <si>
    <t>Pavimentazione nuovo marciapiede, mappale 745 RFD Monteceneri, sez. Camignolo</t>
  </si>
  <si>
    <t>Opere da impresario costruttore per la sistemazione del muro di sostegno stradale e dell'adiacente canale di scolo delle acque meteoriche in via Piancamara a Medeglia</t>
  </si>
  <si>
    <t>Assidu SA, via Breganzona 16, 6903 Lugano</t>
  </si>
  <si>
    <t xml:space="preserve">Opere da idraulico - installazione due nuovi idranti stradali </t>
  </si>
  <si>
    <t>Rivola SA, via ai Ronchi 1, 6802 Rivera</t>
  </si>
  <si>
    <t>G+G Arch Sagl, Via Bagutti 18, 6900 Lugano</t>
  </si>
  <si>
    <t>Oikos Sagl, Via Riale Righetti 20a, 6503 Bellinzona</t>
  </si>
  <si>
    <t>VonRoll Hydro (Suisse) AG, Via Quatorta 8, 6533  Lumino</t>
  </si>
  <si>
    <t>Piano di gestione neofite invasive - prestazioni da ingegnere ambientale</t>
  </si>
  <si>
    <t>Opere di impermealizzazione e lattoneria del tetto della palestra di Medeglia</t>
  </si>
  <si>
    <t>Fornitura nuovo veicolo elettrico</t>
  </si>
  <si>
    <t>Garage Mari, Birmo SA, Via Riale 21, 6804 Bironico</t>
  </si>
  <si>
    <t>Pongelli Metalcostruzioni Sagl, Via Pedemonte 29, 6802 Rivera</t>
  </si>
  <si>
    <t>Road Art Sagl, via Baragge 13, 6512 Giubiasco</t>
  </si>
  <si>
    <t>Sostituzione paletti zona 30 a Sigirino</t>
  </si>
  <si>
    <t>Afry Svizzera SA, via Pellandini 3, 6500 Bellinzona</t>
  </si>
  <si>
    <t>Ifec SA, Via C. pellandini 3, 6500 Bellinzona</t>
  </si>
  <si>
    <t>Riparazione del trattore Goldoni idea 30 DT</t>
  </si>
  <si>
    <t>Riparazione del veicoli multifunzione, "Holder Muvo"</t>
  </si>
  <si>
    <t>Zimmermann AG, Plong Muing 32, 7013 Domat/Ems</t>
  </si>
  <si>
    <t>Sostituzione recinzione Zona S1 Vibioggio - Camignolo</t>
  </si>
  <si>
    <t>Fornitura Mobilio per la Casa comunale</t>
  </si>
  <si>
    <t xml:space="preserve">Sostituzione riduttore di pressione AP Medeglia bassa </t>
  </si>
  <si>
    <t>Hawle Armature AG, Hawlestrasse 1 Sirnach</t>
  </si>
  <si>
    <t>Prestazioni per la fornitura e la posa della pavimentazione del parco giochi della scuola elementare di Bironico e vicino al campo sportivo di Camignolo</t>
  </si>
  <si>
    <t>Germano Farina Sagl, Lavori forestali, via Cassinone 7, 6998 Monteggio</t>
  </si>
  <si>
    <t>Prestazioni di direzione lavori per la manutenzione delle paludi ai Monti di Medeglia</t>
  </si>
  <si>
    <t>Prestazioni da impresario costrutture per la sistemazione del riale a sud del Nucleo di Sorencino</t>
  </si>
  <si>
    <t>Prestazioni per la gestione dei roveti ai Monti di Medeglia</t>
  </si>
  <si>
    <t>Dena Lavori forestali SA, via Ör 9, 6949 Comano</t>
  </si>
  <si>
    <t>Prestazioni per la pulizia e la vuotatura delle caditoie sradali e dei pozzi per il periodo 01.06.2024 - 01.03.2025</t>
  </si>
  <si>
    <t>ITS Servizio Canalizzazioni SA, Strada Regina 94, 6982 Agno</t>
  </si>
  <si>
    <t>Studio Meschi ingegnere e architetto, via Soresina 67, 6802 Rivera</t>
  </si>
  <si>
    <t>Impianti uffici per la casa comunale</t>
  </si>
  <si>
    <t>Opere di rinnovo della segnaletica orizzontale</t>
  </si>
  <si>
    <t>Applicolor SA, via ai Pree 8, 6915 Pambio Noranco</t>
  </si>
  <si>
    <t>Fornitura e posa di pannelli fonoassorbenti presso la scuola elementare di Bironico</t>
  </si>
  <si>
    <t>Somazzi Dario materiali da costruzione SA, via Maito 20, 6804 Bironico</t>
  </si>
  <si>
    <t>Smontaggio, spurgo e rimontaggio di corpi riscaldanti - Centro diurno di Rivera</t>
  </si>
  <si>
    <t>Ripristino del parquet al piano terreno e al primo piano  del Centro diurno di Rivera</t>
  </si>
  <si>
    <t>Piazza Pavimenti Sagl, Via Vedeggi 16, 6983 Magliaso</t>
  </si>
  <si>
    <t>Prestazioni da impresario costruttore per lo spostamento della Cappella della Marianna di Camignolo</t>
  </si>
  <si>
    <t>Opere da gessatore e da pittore al Centro diurno di Rivera</t>
  </si>
  <si>
    <t>Bouygues SA, Via Cantonale 43, 6802 Rivera</t>
  </si>
  <si>
    <t>Data pubblicazione:</t>
  </si>
  <si>
    <t>art.7 cpv.3 lett.h LCPubb</t>
  </si>
  <si>
    <t xml:space="preserve">Incarico diretto </t>
  </si>
  <si>
    <t>Incarico diretto</t>
  </si>
  <si>
    <t>Studio  Francesco Allievi SA, Via Bartolomeo Papio 5, 6612 Ascona</t>
  </si>
  <si>
    <t>Opere di progettazione - ampliamento caserma pompieri Rivera</t>
  </si>
  <si>
    <t>Commessa di fornitura</t>
  </si>
  <si>
    <t>Bulloni SA, A Gròssa 33, 6810 Isone</t>
  </si>
  <si>
    <t>Indagine OSiti per poligono di tiro Medeglia</t>
  </si>
  <si>
    <t>Acquisto programma timbrature</t>
  </si>
  <si>
    <t>Progel SA, via Cantonale 35, 6928 Manno</t>
  </si>
  <si>
    <t>Lavori di riorganizzazione uffici amministrazione comunale Bironico</t>
  </si>
  <si>
    <t>SPM SA, via Cantonale, 6928 Manno</t>
  </si>
  <si>
    <t>Lavori per le opere da elettricista casa comunale Bironico</t>
  </si>
  <si>
    <t>Prestazioni da ingengere civile per ampliamento caserma pompieri</t>
  </si>
  <si>
    <t>Prestazioni da ingengere RCVS per ampliamento caserma dei pompieri</t>
  </si>
  <si>
    <t>Prestazioni di consulenza e servizio informatico</t>
  </si>
  <si>
    <t>S. Morisoli &amp; Figli SA, El Stradùn 33, 6513 Monte Carasso</t>
  </si>
  <si>
    <t>Sostituzione impianto semaforico in Via Bironico</t>
  </si>
  <si>
    <t>Yunex AG, Freilagerstrasse 40, 8047 Zurigo</t>
  </si>
  <si>
    <t>J Informatica Sagl, via Mara 11, 6930 Bedano</t>
  </si>
  <si>
    <t>Manutenzione straordinaria campo sportivo Quadrifoglio</t>
  </si>
  <si>
    <t>Luca Antonini Sagl, Via Campagna 9, 6984 Pura</t>
  </si>
  <si>
    <t>Potenziamento e adeguamento illuminazione pubblica Rivera</t>
  </si>
  <si>
    <t>AIL SA, via Industria 2, 6933 Muzzano</t>
  </si>
  <si>
    <t>Incario diretto</t>
  </si>
  <si>
    <t>Fornitura e posa striscia LED centro diurno Rivera</t>
  </si>
  <si>
    <t>Aggiornamento progetto posteggio P2B Osignano</t>
  </si>
  <si>
    <t>Opere da falegname centro diurno Rivera</t>
  </si>
  <si>
    <t>Cattani Falegnameria SA, via Cantonale 109, 6804 Bironico</t>
  </si>
  <si>
    <t>Floobeton Switzerland Sagl, via S. Mamete, 6805 Mezzovico-Vira</t>
  </si>
  <si>
    <t>Opere di sistemazione pavimentazione esterna centro diurno Rivera</t>
  </si>
  <si>
    <t>Sistemazione sentiero Canedo- A Campèi, Medeglia</t>
  </si>
  <si>
    <t>Prestazioni da metalcostruttore sostituzione corrimani e fornitura griglia di protezione sottopasso  pedonale FFS Bironico</t>
  </si>
  <si>
    <t>Sistemazione sentiero escursionistico locale no. 711 In Ca - A Trogiàn, Bironico</t>
  </si>
  <si>
    <t>Pervangher SA, Strada di Valle 10, 6780 Airolo</t>
  </si>
  <si>
    <t>Opere di pavimentazione - sostituzione chiusini esistenti in via Cantonale</t>
  </si>
  <si>
    <t>Fornitura pacchetto eCittadino</t>
  </si>
  <si>
    <t>Fornitura di due armadi per Centro diurno Rivera</t>
  </si>
  <si>
    <t>Opere per la sistemazione e impermeabilizzazione tetto scuola dell'infanzia di Camignolo</t>
  </si>
  <si>
    <t>Donada SA, via al Mulino, 6943 Vezia</t>
  </si>
  <si>
    <t>Centro di Calcolo Elettronico, via alle Gerre 1, 6596 Gordola</t>
  </si>
  <si>
    <t>Fornitura sistema evacuazione acque meteoriche sottopasso FFS in Via Quadron a Camignolo</t>
  </si>
  <si>
    <t>Häny AG, via Campagna 10C, 6512 Giubiasco</t>
  </si>
  <si>
    <t>incarico diretto</t>
  </si>
  <si>
    <t xml:space="preserve">Pavimentazione stradale via Zarigo a Rivera e via Ventigana a Sigirino, posa chiusini stradali via alla Chiesa e via alle Ganne a Camignolo e via alle Scuole a Rivera </t>
  </si>
  <si>
    <t>Saisa SA, via al ticino 11, 6703 Osogna</t>
  </si>
  <si>
    <t>Axpo Tegra AG, via Innovativa, 7013 Domat/Ems</t>
  </si>
  <si>
    <t>Planidea SA, via Lischedo 11, 6802 Rivera</t>
  </si>
  <si>
    <t>Preventivo per lavori di adeguamento alla LST dei PR delle cinque sezioni del Comune di Monteceneri</t>
  </si>
  <si>
    <t>Equans Switzerland Facility Management SA, via Cantonale 43, 6802 Rivera</t>
  </si>
  <si>
    <t>Fornitura e posa tre pali fuori terra con lampade LED centro diurno Rivera</t>
  </si>
  <si>
    <t>Aperitivo fine anno popolazione</t>
  </si>
  <si>
    <t>Ristoranti Banfi, via Cantonale 4, 6804 Bironico</t>
  </si>
  <si>
    <t>Potenziamento e adeguamento illuminazione pubblica Camignolo</t>
  </si>
  <si>
    <t>Fornitura e trasporto legname manutenzione sentiero escursionistico</t>
  </si>
  <si>
    <t>Fornitura di sacchi rifiuti da 110l ufficiali</t>
  </si>
  <si>
    <t>Silicon Swiss Sagl, Contrada S. Marco, 6982 Agno</t>
  </si>
  <si>
    <t>Prestazioni da ingegnere civile ex casa comunale Camignolo</t>
  </si>
  <si>
    <t>Lucchini &amp; Canepa SA, via Luganetto 4 6962 Viganello</t>
  </si>
  <si>
    <t>Alternativa Energetica SA, via al Mulino 31, 6926 Montagnola</t>
  </si>
  <si>
    <t>Progettazione d'appalto ed esecutiva degli impianti elettricie e d'illmuninazione ex casa comunale Camignolo</t>
  </si>
  <si>
    <t>Progelec Sagl, via Pezoo 7, 6877 Coldrerio</t>
  </si>
  <si>
    <t>Progettazione d'appalto ed secutiva degli impianti RVCS ex casa comunale Camignolo</t>
  </si>
  <si>
    <t>Prestazioni di fisica della costruzione ex casa comunale Camignolo</t>
  </si>
  <si>
    <t>Galli Engineering, via Lischedo 11, 6802 Rivera</t>
  </si>
  <si>
    <t>Manutenzione strade Monti di Medeglia</t>
  </si>
  <si>
    <t>Servizio cala neve e spargimento sale</t>
  </si>
  <si>
    <t>Variante di piano regolatore comparto residenziale, misto e lavorativo di Bironico - prestazioni del pianificatore</t>
  </si>
  <si>
    <t>Variante di piano regolatore comparto residenziale, misto e lavorativo di Bironico - prestazioni ingegnere del traffico</t>
  </si>
  <si>
    <t>Consulenza assicurativa</t>
  </si>
  <si>
    <t>Fornitura e posa di due nuovi idranti stradali zona TCS Rivera</t>
  </si>
  <si>
    <t>Valutazione interventi per risanamento copertura tetto asilo di Camignolo</t>
  </si>
  <si>
    <t>Impresario costruttore per sistemazione scoscendimento del terreno e costruzione nuovo sistema smaltimento acque  meteoriche Medeglia</t>
  </si>
  <si>
    <t>Sostituzione botola di accesso SO Vibioggio - Camignolo</t>
  </si>
  <si>
    <t>Fornitura tavoli per aula arti plastiche e musica sede di Bironico</t>
  </si>
  <si>
    <t>Progettazione riqualifica e restauro comparto molino di Soresina a Rivera</t>
  </si>
  <si>
    <t>Carnovale Armando Sagl, Via Cantonale 18, 6805 Mezzovico</t>
  </si>
  <si>
    <t>Spostamento candelabro</t>
  </si>
  <si>
    <t>Fornitura GPS topografico</t>
  </si>
  <si>
    <t>Happy Survey Sagl, via Pian Scairolo 23, 6912 Lugano</t>
  </si>
  <si>
    <t>Luminarie natalizie</t>
  </si>
  <si>
    <t>Claudio Merlo SA, via industria 1, zona industriale 4, 6807 Taverne</t>
  </si>
  <si>
    <t>Allestimento inventario strade comunali</t>
  </si>
  <si>
    <t>Progettazione impianto UV acqua potabile</t>
  </si>
  <si>
    <t xml:space="preserve">Acquisto pannelli espositivi </t>
  </si>
  <si>
    <t>Piano finanziario 2025-2028</t>
  </si>
  <si>
    <t>Interfida SA, Corso San Gottardo 35, 6830 Chiasso</t>
  </si>
  <si>
    <t>Risanamento muro di sostegno strada comunale</t>
  </si>
  <si>
    <t>Progettazione definitiva evacuazione delle acque del riale in via ai Ronchi, Rivera</t>
  </si>
  <si>
    <t>Opere impresario costruttore per opere di drenaggio delle acque meteoriche stradali</t>
  </si>
  <si>
    <t>Sostituzione e riqualifica illuminazione pubblica nel nucleo di Soresina</t>
  </si>
  <si>
    <t>Gianni Ochsner SA, via Cantonale 2, 6814 Lamone</t>
  </si>
  <si>
    <t>Raccolta e smaltimento rifiuti solidi urbani RSU</t>
  </si>
  <si>
    <t>Geosistema SA, via Luganetto 6, 6962 Viganello</t>
  </si>
  <si>
    <t>Manutenzione cimitero periodo 2025-2028</t>
  </si>
  <si>
    <t>Pesciallo Edilizia Cimiteriale SA, via Riale Righetti 22, 6503 Bellinzona</t>
  </si>
  <si>
    <t>Sostituzione griglie stradali e manutenzione pavimentazione stradale</t>
  </si>
  <si>
    <t>Manutenzione palude Medeglia</t>
  </si>
  <si>
    <t>Lucchini e Lippuner , via Luganetto 4 6962 Viganello</t>
  </si>
  <si>
    <t>Progettazione definitiva riqualifica torrente Leguana</t>
  </si>
  <si>
    <t>Progettazione definitiva allestimento piano delle zone di periocolo per i fenomeni di alluviamento lungo la Leguana</t>
  </si>
  <si>
    <t>Beffa Tognacca Sagl, in Carèe Ventivi 27, 6702 Claro</t>
  </si>
  <si>
    <t>Taglio arbusti e vegetazione scarpate lato stradale</t>
  </si>
  <si>
    <t>Sostituzione WC asilo di Rivera</t>
  </si>
  <si>
    <t>Sostituzine serramenti e parapetti centro diurno</t>
  </si>
  <si>
    <t>Progetto 3000 SA, via la Stampa, 6965 Lugano</t>
  </si>
  <si>
    <t>Prestazioni da elettricista - posa prese per decorazioni natalizie</t>
  </si>
  <si>
    <t>Fornitura programma "registro indici"</t>
  </si>
  <si>
    <t>Gestore manutenzione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</si>
</sst>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\.mm\.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sz val="8.0500000000000007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3" fillId="0" borderId="0" xfId="0" applyFont="1" applyAlignment="1">
      <alignment vertical="center"/>
    </xf>
    <xf numFmtId="1" fontId="4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2" borderId="2" xfId="0" applyNumberForma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vertical="center" wrapText="1"/>
    </xf>
    <xf numFmtId="43" fontId="7" fillId="3" borderId="1" xfId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43" fontId="0" fillId="0" borderId="0" xfId="0" applyNumberFormat="1" applyFill="1"/>
    <xf numFmtId="43" fontId="0" fillId="0" borderId="0" xfId="1" applyFont="1" applyFill="1" applyBorder="1" applyAlignment="1">
      <alignment vertical="center"/>
    </xf>
    <xf numFmtId="0" fontId="0" fillId="0" borderId="0" xfId="0" applyFill="1"/>
    <xf numFmtId="0" fontId="10" fillId="0" borderId="0" xfId="0" applyFont="1"/>
    <xf numFmtId="43" fontId="10" fillId="0" borderId="0" xfId="0" applyNumberFormat="1" applyFont="1" applyFill="1"/>
    <xf numFmtId="43" fontId="0" fillId="0" borderId="0" xfId="0" applyNumberFormat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 wrapText="1"/>
    </xf>
    <xf numFmtId="14" fontId="0" fillId="0" borderId="2" xfId="0" applyNumberForma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3" fontId="0" fillId="0" borderId="0" xfId="1" applyFont="1" applyFill="1" applyAlignment="1">
      <alignment vertical="center"/>
    </xf>
    <xf numFmtId="43" fontId="0" fillId="0" borderId="2" xfId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1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600075</xdr:colOff>
          <xdr:row>1</xdr:row>
          <xdr:rowOff>66675</xdr:rowOff>
        </xdr:from>
        <xdr:to>
          <xdr:col>5</xdr:col>
          <xdr:colOff>1476375</xdr:colOff>
          <xdr:row>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3"/>
  <sheetViews>
    <sheetView tabSelected="1" zoomScale="120" zoomScaleNormal="120" workbookViewId="0">
      <pane xSplit="7" ySplit="11" topLeftCell="I12" activePane="bottomRight" state="frozen"/>
      <selection pane="topRight" activeCell="H1" sqref="H1"/>
      <selection pane="bottomLeft" activeCell="A14" sqref="A14"/>
      <selection pane="bottomRight" activeCell="I83" sqref="I83"/>
    </sheetView>
  </sheetViews>
  <sheetFormatPr defaultRowHeight="15" x14ac:dyDescent="0.25"/>
  <cols>
    <col min="1" max="1" width="21" customWidth="1"/>
    <col min="2" max="2" width="20.42578125" customWidth="1"/>
    <col min="3" max="4" width="23.140625" customWidth="1"/>
    <col min="5" max="5" width="48.7109375" bestFit="1" customWidth="1"/>
    <col min="6" max="6" width="30" style="20" bestFit="1" customWidth="1"/>
    <col min="7" max="7" width="17" style="20" customWidth="1"/>
    <col min="8" max="8" width="24.85546875" hidden="1" customWidth="1"/>
    <col min="9" max="9" width="9.5703125" bestFit="1" customWidth="1"/>
    <col min="10" max="10" width="10.5703125" bestFit="1" customWidth="1"/>
  </cols>
  <sheetData>
    <row r="1" spans="1:11" ht="15.75" x14ac:dyDescent="0.25">
      <c r="A1" s="1"/>
      <c r="B1" s="1"/>
      <c r="C1" s="1"/>
      <c r="D1" s="1"/>
      <c r="E1" s="1"/>
      <c r="F1" s="30"/>
      <c r="G1" s="1"/>
    </row>
    <row r="2" spans="1:11" x14ac:dyDescent="0.25">
      <c r="A2" s="1"/>
      <c r="B2" s="1"/>
      <c r="C2" s="1"/>
      <c r="D2" s="1"/>
      <c r="E2" s="1"/>
      <c r="F2" s="2"/>
      <c r="G2" s="1"/>
    </row>
    <row r="3" spans="1:11" ht="23.25" x14ac:dyDescent="0.25">
      <c r="A3" s="1"/>
      <c r="B3" s="1"/>
      <c r="C3" s="1"/>
      <c r="D3" s="1"/>
      <c r="E3" s="3" t="s">
        <v>0</v>
      </c>
      <c r="F3" s="2"/>
      <c r="G3" s="1"/>
    </row>
    <row r="4" spans="1:11" x14ac:dyDescent="0.25">
      <c r="A4" s="1"/>
      <c r="B4" s="1"/>
      <c r="C4" s="1"/>
      <c r="D4" s="1"/>
      <c r="E4" s="1"/>
      <c r="F4" s="2"/>
      <c r="G4" s="1"/>
    </row>
    <row r="5" spans="1:11" x14ac:dyDescent="0.25">
      <c r="A5" s="4"/>
      <c r="B5" s="4"/>
      <c r="C5" s="4"/>
      <c r="D5" s="4"/>
      <c r="E5" s="4"/>
      <c r="F5" s="31"/>
      <c r="G5" s="32"/>
    </row>
    <row r="6" spans="1:11" x14ac:dyDescent="0.25">
      <c r="A6" s="2"/>
      <c r="B6" s="2"/>
      <c r="C6" s="2"/>
      <c r="D6" s="2"/>
      <c r="E6" s="2"/>
      <c r="F6" s="2"/>
      <c r="G6" s="1"/>
    </row>
    <row r="7" spans="1:11" x14ac:dyDescent="0.25">
      <c r="A7" s="1"/>
      <c r="B7" s="1"/>
      <c r="C7" s="1"/>
      <c r="D7" s="1"/>
      <c r="E7" s="1"/>
      <c r="F7" s="33"/>
      <c r="G7" s="34"/>
    </row>
    <row r="8" spans="1:11" ht="15.75" x14ac:dyDescent="0.25">
      <c r="A8" s="5" t="s">
        <v>30</v>
      </c>
      <c r="B8" s="5"/>
      <c r="C8" s="5"/>
      <c r="D8" s="5"/>
      <c r="E8" s="5"/>
      <c r="F8" s="35"/>
      <c r="G8" s="36"/>
    </row>
    <row r="9" spans="1:11" x14ac:dyDescent="0.25">
      <c r="A9" s="6" t="s">
        <v>1</v>
      </c>
      <c r="B9" s="6"/>
      <c r="C9" s="6"/>
      <c r="D9" s="6"/>
      <c r="E9" s="6"/>
      <c r="F9" s="37"/>
      <c r="G9" s="38"/>
    </row>
    <row r="10" spans="1:11" ht="14.25" customHeight="1" x14ac:dyDescent="0.25">
      <c r="A10" s="8"/>
      <c r="B10" s="7"/>
      <c r="C10" s="7"/>
      <c r="D10" s="7"/>
      <c r="E10" s="7"/>
      <c r="F10" s="39"/>
      <c r="G10" s="40"/>
      <c r="H10" s="9" t="s">
        <v>7</v>
      </c>
    </row>
    <row r="11" spans="1:11" ht="30" x14ac:dyDescent="0.25">
      <c r="A11" s="10" t="s">
        <v>2</v>
      </c>
      <c r="B11" s="11" t="s">
        <v>3</v>
      </c>
      <c r="C11" s="11" t="s">
        <v>4</v>
      </c>
      <c r="D11" s="11"/>
      <c r="E11" s="11" t="s">
        <v>5</v>
      </c>
      <c r="F11" s="42" t="s">
        <v>6</v>
      </c>
      <c r="G11" s="43" t="s">
        <v>18</v>
      </c>
      <c r="H11" s="12" t="s">
        <v>11</v>
      </c>
    </row>
    <row r="12" spans="1:11" s="20" customFormat="1" ht="45" x14ac:dyDescent="0.25">
      <c r="A12" s="24">
        <v>45306</v>
      </c>
      <c r="B12" s="15" t="s">
        <v>81</v>
      </c>
      <c r="C12" s="15" t="s">
        <v>77</v>
      </c>
      <c r="D12" s="15" t="s">
        <v>76</v>
      </c>
      <c r="E12" s="14" t="s">
        <v>23</v>
      </c>
      <c r="F12" s="14" t="s">
        <v>24</v>
      </c>
      <c r="G12" s="13">
        <f>6988.3/1.081</f>
        <v>6464.6623496762259</v>
      </c>
      <c r="H12" s="19"/>
    </row>
    <row r="13" spans="1:11" s="20" customFormat="1" ht="45" x14ac:dyDescent="0.25">
      <c r="A13" s="24">
        <v>45306</v>
      </c>
      <c r="B13" s="15" t="s">
        <v>14</v>
      </c>
      <c r="C13" s="15" t="s">
        <v>78</v>
      </c>
      <c r="D13" s="15" t="s">
        <v>76</v>
      </c>
      <c r="E13" s="14" t="s">
        <v>25</v>
      </c>
      <c r="F13" s="14" t="s">
        <v>79</v>
      </c>
      <c r="G13" s="13">
        <f>13460*100/108.1</f>
        <v>12451.433857539316</v>
      </c>
      <c r="H13" s="19"/>
      <c r="I13" s="18"/>
      <c r="J13" s="18"/>
    </row>
    <row r="14" spans="1:11" ht="45" x14ac:dyDescent="0.25">
      <c r="A14" s="24">
        <v>45313</v>
      </c>
      <c r="B14" s="15" t="s">
        <v>14</v>
      </c>
      <c r="C14" s="15" t="s">
        <v>78</v>
      </c>
      <c r="D14" s="15" t="s">
        <v>76</v>
      </c>
      <c r="E14" s="15" t="s">
        <v>28</v>
      </c>
      <c r="F14" s="14" t="s">
        <v>29</v>
      </c>
      <c r="G14" s="13">
        <f>5515.26*100/108.1</f>
        <v>5101.9981498612397</v>
      </c>
      <c r="I14" s="18"/>
      <c r="J14" s="18"/>
    </row>
    <row r="15" spans="1:11" s="20" customFormat="1" ht="30" x14ac:dyDescent="0.25">
      <c r="A15" s="24">
        <v>45320</v>
      </c>
      <c r="B15" s="25" t="s">
        <v>9</v>
      </c>
      <c r="C15" s="15" t="s">
        <v>78</v>
      </c>
      <c r="D15" s="15" t="s">
        <v>76</v>
      </c>
      <c r="E15" s="14" t="s">
        <v>31</v>
      </c>
      <c r="F15" s="14" t="s">
        <v>19</v>
      </c>
      <c r="G15" s="13">
        <f>29567.55*100/108.1</f>
        <v>27352.03515263645</v>
      </c>
      <c r="I15" s="18"/>
      <c r="J15" s="18"/>
    </row>
    <row r="16" spans="1:11" ht="60" x14ac:dyDescent="0.25">
      <c r="A16" s="24">
        <v>45320</v>
      </c>
      <c r="B16" s="15" t="s">
        <v>9</v>
      </c>
      <c r="C16" s="15" t="s">
        <v>78</v>
      </c>
      <c r="D16" s="15" t="s">
        <v>76</v>
      </c>
      <c r="E16" s="14" t="s">
        <v>32</v>
      </c>
      <c r="F16" s="14" t="s">
        <v>12</v>
      </c>
      <c r="G16" s="13">
        <f>5729.3*100/108.1</f>
        <v>5300</v>
      </c>
      <c r="I16" s="22"/>
      <c r="J16" s="21"/>
      <c r="K16" s="21"/>
    </row>
    <row r="17" spans="1:10" ht="30" x14ac:dyDescent="0.25">
      <c r="A17" s="24">
        <v>45327</v>
      </c>
      <c r="B17" s="15" t="s">
        <v>81</v>
      </c>
      <c r="C17" s="15" t="s">
        <v>78</v>
      </c>
      <c r="D17" s="15" t="s">
        <v>76</v>
      </c>
      <c r="E17" s="26" t="s">
        <v>15</v>
      </c>
      <c r="F17" s="14" t="s">
        <v>16</v>
      </c>
      <c r="G17" s="13">
        <f>27132*100/108.1</f>
        <v>25098.982423681777</v>
      </c>
      <c r="I17" s="18"/>
      <c r="J17" s="18"/>
    </row>
    <row r="18" spans="1:10" ht="45" x14ac:dyDescent="0.25">
      <c r="A18" s="24">
        <v>45341</v>
      </c>
      <c r="B18" s="15" t="s">
        <v>14</v>
      </c>
      <c r="C18" s="15" t="s">
        <v>78</v>
      </c>
      <c r="D18" s="15" t="s">
        <v>76</v>
      </c>
      <c r="E18" s="26" t="s">
        <v>143</v>
      </c>
      <c r="F18" s="14" t="s">
        <v>123</v>
      </c>
      <c r="G18" s="13">
        <f>35802.75*100/108.1</f>
        <v>33120.027752081405</v>
      </c>
      <c r="I18" s="18"/>
      <c r="J18" s="18"/>
    </row>
    <row r="19" spans="1:10" ht="45" x14ac:dyDescent="0.25">
      <c r="A19" s="24">
        <v>45341</v>
      </c>
      <c r="B19" s="15" t="s">
        <v>14</v>
      </c>
      <c r="C19" s="15" t="s">
        <v>78</v>
      </c>
      <c r="D19" s="15" t="s">
        <v>76</v>
      </c>
      <c r="E19" s="26" t="s">
        <v>144</v>
      </c>
      <c r="F19" s="14" t="s">
        <v>26</v>
      </c>
      <c r="G19" s="13">
        <f>9948.7*100/108.1</f>
        <v>9203.2377428307136</v>
      </c>
      <c r="I19" s="18"/>
      <c r="J19" s="18"/>
    </row>
    <row r="20" spans="1:10" s="20" customFormat="1" ht="30" x14ac:dyDescent="0.25">
      <c r="A20" s="24">
        <v>45348</v>
      </c>
      <c r="B20" s="15" t="s">
        <v>10</v>
      </c>
      <c r="C20" s="15" t="s">
        <v>78</v>
      </c>
      <c r="D20" s="15" t="s">
        <v>76</v>
      </c>
      <c r="E20" s="14" t="s">
        <v>145</v>
      </c>
      <c r="F20" s="14" t="s">
        <v>33</v>
      </c>
      <c r="G20" s="13">
        <v>7200</v>
      </c>
    </row>
    <row r="21" spans="1:10" ht="30" x14ac:dyDescent="0.25">
      <c r="A21" s="24">
        <v>45355</v>
      </c>
      <c r="B21" s="15" t="s">
        <v>8</v>
      </c>
      <c r="C21" s="15" t="s">
        <v>78</v>
      </c>
      <c r="D21" s="15" t="s">
        <v>76</v>
      </c>
      <c r="E21" s="14" t="s">
        <v>34</v>
      </c>
      <c r="F21" s="14" t="s">
        <v>35</v>
      </c>
      <c r="G21" s="13">
        <f>10160.45*100/108.1</f>
        <v>9399.1211840888081</v>
      </c>
      <c r="I21" s="18"/>
      <c r="J21" s="18"/>
    </row>
    <row r="22" spans="1:10" ht="30" x14ac:dyDescent="0.25">
      <c r="A22" s="24">
        <v>45355</v>
      </c>
      <c r="B22" s="15" t="s">
        <v>14</v>
      </c>
      <c r="C22" s="15" t="s">
        <v>78</v>
      </c>
      <c r="D22" s="15" t="s">
        <v>76</v>
      </c>
      <c r="E22" s="14" t="s">
        <v>80</v>
      </c>
      <c r="F22" s="14" t="s">
        <v>36</v>
      </c>
      <c r="G22" s="13">
        <f>58660.97*100/108.1</f>
        <v>54265.467160037006</v>
      </c>
      <c r="I22" s="18"/>
      <c r="J22" s="18"/>
    </row>
    <row r="23" spans="1:10" ht="30" x14ac:dyDescent="0.25">
      <c r="A23" s="24">
        <v>45355</v>
      </c>
      <c r="B23" s="15" t="s">
        <v>14</v>
      </c>
      <c r="C23" s="15" t="s">
        <v>78</v>
      </c>
      <c r="D23" s="15" t="s">
        <v>76</v>
      </c>
      <c r="E23" s="14" t="s">
        <v>39</v>
      </c>
      <c r="F23" s="14" t="s">
        <v>37</v>
      </c>
      <c r="G23" s="13">
        <f>31861.35*100/108.1</f>
        <v>29473.959296947272</v>
      </c>
      <c r="I23" s="18"/>
      <c r="J23" s="18"/>
    </row>
    <row r="24" spans="1:10" ht="30" x14ac:dyDescent="0.25">
      <c r="A24" s="24">
        <v>45355</v>
      </c>
      <c r="B24" s="15" t="s">
        <v>81</v>
      </c>
      <c r="C24" s="15" t="s">
        <v>78</v>
      </c>
      <c r="D24" s="15" t="s">
        <v>76</v>
      </c>
      <c r="E24" s="14" t="s">
        <v>146</v>
      </c>
      <c r="F24" s="14" t="s">
        <v>38</v>
      </c>
      <c r="G24" s="13">
        <f>7267.1*100/108.1</f>
        <v>6722.5716928769662</v>
      </c>
      <c r="I24" s="18"/>
      <c r="J24" s="18"/>
    </row>
    <row r="25" spans="1:10" ht="30" x14ac:dyDescent="0.25">
      <c r="A25" s="24">
        <v>45362</v>
      </c>
      <c r="B25" s="15" t="s">
        <v>8</v>
      </c>
      <c r="C25" s="15" t="s">
        <v>78</v>
      </c>
      <c r="D25" s="15" t="s">
        <v>76</v>
      </c>
      <c r="E25" s="14" t="s">
        <v>40</v>
      </c>
      <c r="F25" s="14" t="s">
        <v>22</v>
      </c>
      <c r="G25" s="13">
        <f>52872.7*100/108.1</f>
        <v>48910.915818686401</v>
      </c>
      <c r="I25" s="23"/>
      <c r="J25" s="23"/>
    </row>
    <row r="26" spans="1:10" ht="30" x14ac:dyDescent="0.25">
      <c r="A26" s="24">
        <v>45362</v>
      </c>
      <c r="B26" s="15" t="s">
        <v>10</v>
      </c>
      <c r="C26" s="15" t="s">
        <v>78</v>
      </c>
      <c r="D26" s="15" t="s">
        <v>76</v>
      </c>
      <c r="E26" s="14" t="s">
        <v>147</v>
      </c>
      <c r="F26" s="14" t="s">
        <v>22</v>
      </c>
      <c r="G26" s="13">
        <f>12165.4*100/108.1</f>
        <v>11253.839037927844</v>
      </c>
      <c r="I26" s="21"/>
      <c r="J26" s="21"/>
    </row>
    <row r="27" spans="1:10" s="20" customFormat="1" ht="45" x14ac:dyDescent="0.25">
      <c r="A27" s="24">
        <v>45362</v>
      </c>
      <c r="B27" s="15" t="s">
        <v>9</v>
      </c>
      <c r="C27" s="15" t="s">
        <v>78</v>
      </c>
      <c r="D27" s="15" t="s">
        <v>76</v>
      </c>
      <c r="E27" s="14" t="s">
        <v>148</v>
      </c>
      <c r="F27" s="14" t="s">
        <v>82</v>
      </c>
      <c r="G27" s="13">
        <f>10864*100/108.1</f>
        <v>10049.95374653099</v>
      </c>
      <c r="I27" s="23"/>
      <c r="J27" s="23"/>
    </row>
    <row r="28" spans="1:10" s="20" customFormat="1" ht="30" x14ac:dyDescent="0.25">
      <c r="A28" s="24">
        <v>45362</v>
      </c>
      <c r="B28" s="15" t="s">
        <v>10</v>
      </c>
      <c r="C28" s="15" t="s">
        <v>78</v>
      </c>
      <c r="D28" s="15" t="s">
        <v>76</v>
      </c>
      <c r="E28" s="14" t="s">
        <v>83</v>
      </c>
      <c r="F28" s="14" t="s">
        <v>37</v>
      </c>
      <c r="G28" s="13">
        <f>10317.06*100/108.1</f>
        <v>9543.9962997224793</v>
      </c>
      <c r="I28" s="23"/>
      <c r="J28" s="23"/>
    </row>
    <row r="29" spans="1:10" s="20" customFormat="1" ht="30" x14ac:dyDescent="0.25">
      <c r="A29" s="24">
        <v>45369</v>
      </c>
      <c r="B29" s="15" t="s">
        <v>8</v>
      </c>
      <c r="C29" s="15" t="s">
        <v>119</v>
      </c>
      <c r="D29" s="15" t="s">
        <v>76</v>
      </c>
      <c r="E29" s="14" t="s">
        <v>179</v>
      </c>
      <c r="F29" s="14" t="s">
        <v>20</v>
      </c>
      <c r="G29" s="13">
        <f>12301.8*100/108.1</f>
        <v>11380.018501387605</v>
      </c>
      <c r="I29" s="23"/>
      <c r="J29" s="23"/>
    </row>
    <row r="30" spans="1:10" s="20" customFormat="1" ht="30" x14ac:dyDescent="0.25">
      <c r="A30" s="24">
        <v>45376</v>
      </c>
      <c r="B30" s="15" t="s">
        <v>81</v>
      </c>
      <c r="C30" s="15" t="s">
        <v>78</v>
      </c>
      <c r="D30" s="15" t="s">
        <v>76</v>
      </c>
      <c r="E30" s="14" t="s">
        <v>84</v>
      </c>
      <c r="F30" s="14" t="s">
        <v>85</v>
      </c>
      <c r="G30" s="13">
        <f>10375+3400</f>
        <v>13775</v>
      </c>
      <c r="I30" s="23"/>
      <c r="J30" s="23"/>
    </row>
    <row r="31" spans="1:10" s="20" customFormat="1" ht="30" x14ac:dyDescent="0.25">
      <c r="A31" s="24">
        <v>45376</v>
      </c>
      <c r="B31" s="15" t="s">
        <v>8</v>
      </c>
      <c r="C31" s="15" t="s">
        <v>78</v>
      </c>
      <c r="D31" s="15" t="s">
        <v>76</v>
      </c>
      <c r="E31" s="14" t="s">
        <v>86</v>
      </c>
      <c r="F31" s="14" t="s">
        <v>87</v>
      </c>
      <c r="G31" s="13">
        <f>99668.2*100/108.1</f>
        <v>92200</v>
      </c>
      <c r="I31" s="23"/>
      <c r="J31" s="23"/>
    </row>
    <row r="32" spans="1:10" s="20" customFormat="1" ht="30" x14ac:dyDescent="0.25">
      <c r="A32" s="24">
        <v>45376</v>
      </c>
      <c r="B32" s="15" t="s">
        <v>8</v>
      </c>
      <c r="C32" s="15" t="s">
        <v>78</v>
      </c>
      <c r="D32" s="15" t="s">
        <v>76</v>
      </c>
      <c r="E32" s="14" t="s">
        <v>88</v>
      </c>
      <c r="F32" s="14" t="s">
        <v>87</v>
      </c>
      <c r="G32" s="13">
        <f>6810.3*100/108.1</f>
        <v>6300</v>
      </c>
      <c r="I32" s="23"/>
      <c r="J32" s="23"/>
    </row>
    <row r="33" spans="1:10" ht="30" x14ac:dyDescent="0.25">
      <c r="A33" s="24">
        <v>45376</v>
      </c>
      <c r="B33" s="15" t="s">
        <v>81</v>
      </c>
      <c r="C33" s="15" t="s">
        <v>78</v>
      </c>
      <c r="D33" s="15" t="s">
        <v>76</v>
      </c>
      <c r="E33" s="14" t="s">
        <v>41</v>
      </c>
      <c r="F33" s="14" t="s">
        <v>42</v>
      </c>
      <c r="G33" s="13">
        <f>43650*100/108.1</f>
        <v>40379.278445883443</v>
      </c>
      <c r="I33" s="23"/>
      <c r="J33" s="23"/>
    </row>
    <row r="34" spans="1:10" ht="30" x14ac:dyDescent="0.25">
      <c r="A34" s="24">
        <v>45390</v>
      </c>
      <c r="B34" s="15" t="s">
        <v>8</v>
      </c>
      <c r="C34" s="15" t="s">
        <v>78</v>
      </c>
      <c r="D34" s="15" t="s">
        <v>76</v>
      </c>
      <c r="E34" s="14" t="s">
        <v>149</v>
      </c>
      <c r="F34" s="14" t="s">
        <v>43</v>
      </c>
      <c r="G34" s="13">
        <f>6961.65*100/108.1</f>
        <v>6440.0092506938026</v>
      </c>
      <c r="I34" s="23"/>
      <c r="J34" s="23"/>
    </row>
    <row r="35" spans="1:10" ht="30" x14ac:dyDescent="0.25">
      <c r="A35" s="24">
        <v>45390</v>
      </c>
      <c r="B35" s="15" t="s">
        <v>81</v>
      </c>
      <c r="C35" s="15" t="s">
        <v>78</v>
      </c>
      <c r="D35" s="15" t="s">
        <v>76</v>
      </c>
      <c r="E35" s="14" t="s">
        <v>45</v>
      </c>
      <c r="F35" s="14" t="s">
        <v>44</v>
      </c>
      <c r="G35" s="13">
        <f>10350.45+3430</f>
        <v>13780.45</v>
      </c>
      <c r="I35" s="23"/>
      <c r="J35" s="23"/>
    </row>
    <row r="36" spans="1:10" ht="30" x14ac:dyDescent="0.25">
      <c r="A36" s="24">
        <v>45390</v>
      </c>
      <c r="B36" s="15" t="s">
        <v>10</v>
      </c>
      <c r="C36" s="15" t="s">
        <v>78</v>
      </c>
      <c r="D36" s="15" t="s">
        <v>76</v>
      </c>
      <c r="E36" s="14" t="s">
        <v>89</v>
      </c>
      <c r="F36" s="14" t="s">
        <v>46</v>
      </c>
      <c r="G36" s="13">
        <f>15800*100/108.1</f>
        <v>14616.096207215542</v>
      </c>
      <c r="I36" s="23"/>
      <c r="J36" s="23"/>
    </row>
    <row r="37" spans="1:10" ht="30" x14ac:dyDescent="0.25">
      <c r="A37" s="24">
        <v>45390</v>
      </c>
      <c r="B37" s="15" t="s">
        <v>10</v>
      </c>
      <c r="C37" s="15" t="s">
        <v>78</v>
      </c>
      <c r="D37" s="15" t="s">
        <v>76</v>
      </c>
      <c r="E37" s="14" t="s">
        <v>90</v>
      </c>
      <c r="F37" s="14" t="s">
        <v>47</v>
      </c>
      <c r="G37" s="13">
        <f>12805.55*100/108.1</f>
        <v>11846.022201665126</v>
      </c>
      <c r="I37" s="23"/>
      <c r="J37" s="23"/>
    </row>
    <row r="38" spans="1:10" ht="30" x14ac:dyDescent="0.25">
      <c r="A38" s="24">
        <v>45411</v>
      </c>
      <c r="B38" s="15" t="s">
        <v>14</v>
      </c>
      <c r="C38" s="15" t="s">
        <v>78</v>
      </c>
      <c r="D38" s="15" t="s">
        <v>76</v>
      </c>
      <c r="E38" s="14" t="s">
        <v>91</v>
      </c>
      <c r="F38" s="14" t="s">
        <v>17</v>
      </c>
      <c r="G38" s="13">
        <f>10000</f>
        <v>10000</v>
      </c>
      <c r="I38" s="23"/>
      <c r="J38" s="23"/>
    </row>
    <row r="39" spans="1:10" ht="30" x14ac:dyDescent="0.25">
      <c r="A39" s="24">
        <v>45411</v>
      </c>
      <c r="B39" s="15" t="s">
        <v>14</v>
      </c>
      <c r="C39" s="15" t="s">
        <v>78</v>
      </c>
      <c r="D39" s="15" t="s">
        <v>76</v>
      </c>
      <c r="E39" s="14" t="s">
        <v>48</v>
      </c>
      <c r="F39" s="14" t="s">
        <v>92</v>
      </c>
      <c r="G39" s="13">
        <f>8083.35*100/108.1</f>
        <v>7477.6595744680853</v>
      </c>
    </row>
    <row r="40" spans="1:10" ht="30" x14ac:dyDescent="0.25">
      <c r="A40" s="24">
        <v>45411</v>
      </c>
      <c r="B40" s="15" t="s">
        <v>14</v>
      </c>
      <c r="C40" s="15" t="s">
        <v>78</v>
      </c>
      <c r="D40" s="15" t="s">
        <v>76</v>
      </c>
      <c r="E40" s="14" t="s">
        <v>49</v>
      </c>
      <c r="F40" s="14" t="s">
        <v>50</v>
      </c>
      <c r="G40" s="13">
        <f>6617.8*100/108.1</f>
        <v>6121.924144310824</v>
      </c>
    </row>
    <row r="41" spans="1:10" ht="30" x14ac:dyDescent="0.25">
      <c r="A41" s="24">
        <v>45418</v>
      </c>
      <c r="B41" s="15" t="s">
        <v>8</v>
      </c>
      <c r="C41" s="15" t="s">
        <v>78</v>
      </c>
      <c r="D41" s="15" t="s">
        <v>76</v>
      </c>
      <c r="E41" s="14" t="s">
        <v>51</v>
      </c>
      <c r="F41" s="14" t="s">
        <v>13</v>
      </c>
      <c r="G41" s="13">
        <f>9469.55*100/108.1</f>
        <v>8759.9907493061964</v>
      </c>
      <c r="I41" s="21"/>
      <c r="J41" s="21"/>
    </row>
    <row r="42" spans="1:10" ht="30" x14ac:dyDescent="0.25">
      <c r="A42" s="24">
        <v>45418</v>
      </c>
      <c r="B42" s="15" t="s">
        <v>81</v>
      </c>
      <c r="C42" s="15" t="s">
        <v>78</v>
      </c>
      <c r="D42" s="15" t="s">
        <v>76</v>
      </c>
      <c r="E42" s="14" t="s">
        <v>52</v>
      </c>
      <c r="F42" s="14" t="s">
        <v>21</v>
      </c>
      <c r="G42" s="13">
        <f>58624.31</f>
        <v>58624.31</v>
      </c>
    </row>
    <row r="43" spans="1:10" ht="30" x14ac:dyDescent="0.25">
      <c r="A43" s="27">
        <v>45425</v>
      </c>
      <c r="B43" s="28" t="s">
        <v>8</v>
      </c>
      <c r="C43" s="28" t="s">
        <v>78</v>
      </c>
      <c r="D43" s="28" t="s">
        <v>76</v>
      </c>
      <c r="E43" s="29" t="s">
        <v>53</v>
      </c>
      <c r="F43" s="29" t="s">
        <v>54</v>
      </c>
      <c r="G43" s="41">
        <f>8421.05*100/108.1</f>
        <v>7790.0555041628113</v>
      </c>
    </row>
    <row r="44" spans="1:10" ht="60" x14ac:dyDescent="0.25">
      <c r="A44" s="24">
        <v>45425</v>
      </c>
      <c r="B44" s="15" t="s">
        <v>8</v>
      </c>
      <c r="C44" s="15" t="s">
        <v>78</v>
      </c>
      <c r="D44" s="15" t="s">
        <v>76</v>
      </c>
      <c r="E44" s="14" t="s">
        <v>55</v>
      </c>
      <c r="F44" s="14" t="s">
        <v>56</v>
      </c>
      <c r="G44" s="13">
        <f>7431.9*100/108.1</f>
        <v>6875.0231267345052</v>
      </c>
      <c r="H44" s="16"/>
    </row>
    <row r="45" spans="1:10" ht="30" x14ac:dyDescent="0.25">
      <c r="A45" s="24">
        <v>45425</v>
      </c>
      <c r="B45" s="15" t="s">
        <v>81</v>
      </c>
      <c r="C45" s="15" t="s">
        <v>78</v>
      </c>
      <c r="D45" s="15" t="s">
        <v>76</v>
      </c>
      <c r="E45" s="14" t="s">
        <v>150</v>
      </c>
      <c r="F45" s="14" t="s">
        <v>21</v>
      </c>
      <c r="G45" s="13">
        <f>7579.95*100/108.1</f>
        <v>7011.9796484736362</v>
      </c>
      <c r="H45" s="17"/>
    </row>
    <row r="46" spans="1:10" ht="30" x14ac:dyDescent="0.25">
      <c r="A46" s="24">
        <v>45425</v>
      </c>
      <c r="B46" s="15" t="s">
        <v>81</v>
      </c>
      <c r="C46" s="15" t="s">
        <v>78</v>
      </c>
      <c r="D46" s="15" t="s">
        <v>76</v>
      </c>
      <c r="E46" s="14" t="s">
        <v>93</v>
      </c>
      <c r="F46" s="14" t="s">
        <v>94</v>
      </c>
      <c r="G46" s="13">
        <f>18336.45*100/108.1</f>
        <v>16962.48843663275</v>
      </c>
      <c r="H46" s="17"/>
    </row>
    <row r="47" spans="1:10" ht="30" x14ac:dyDescent="0.25">
      <c r="A47" s="24">
        <v>45433</v>
      </c>
      <c r="B47" s="15" t="s">
        <v>14</v>
      </c>
      <c r="C47" s="15" t="s">
        <v>78</v>
      </c>
      <c r="D47" s="15" t="s">
        <v>76</v>
      </c>
      <c r="E47" s="14" t="s">
        <v>57</v>
      </c>
      <c r="F47" s="14" t="s">
        <v>37</v>
      </c>
      <c r="G47" s="13">
        <f>6798.4*100/108.1</f>
        <v>6288.9916743755784</v>
      </c>
    </row>
    <row r="48" spans="1:10" ht="30" x14ac:dyDescent="0.25">
      <c r="A48" s="24">
        <v>45433</v>
      </c>
      <c r="B48" s="15" t="s">
        <v>9</v>
      </c>
      <c r="C48" s="15" t="s">
        <v>78</v>
      </c>
      <c r="D48" s="15" t="s">
        <v>76</v>
      </c>
      <c r="E48" s="14" t="s">
        <v>58</v>
      </c>
      <c r="F48" s="14" t="s">
        <v>13</v>
      </c>
      <c r="G48" s="13">
        <f>(6356.3+1243.15)*100/108.1</f>
        <v>7030.0185013876053</v>
      </c>
      <c r="I48" s="21"/>
    </row>
    <row r="49" spans="1:7" ht="30" x14ac:dyDescent="0.25">
      <c r="A49" s="24">
        <v>45433</v>
      </c>
      <c r="B49" s="15" t="s">
        <v>14</v>
      </c>
      <c r="C49" s="15" t="s">
        <v>78</v>
      </c>
      <c r="D49" s="15" t="s">
        <v>76</v>
      </c>
      <c r="E49" s="14" t="s">
        <v>59</v>
      </c>
      <c r="F49" s="14" t="s">
        <v>60</v>
      </c>
      <c r="G49" s="13">
        <f>15739.35*100/108.1</f>
        <v>14559.990749306198</v>
      </c>
    </row>
    <row r="50" spans="1:7" ht="45" x14ac:dyDescent="0.25">
      <c r="A50" s="24">
        <v>45433</v>
      </c>
      <c r="B50" s="15" t="s">
        <v>14</v>
      </c>
      <c r="C50" s="15" t="s">
        <v>78</v>
      </c>
      <c r="D50" s="15" t="s">
        <v>76</v>
      </c>
      <c r="E50" s="14" t="s">
        <v>61</v>
      </c>
      <c r="F50" s="14" t="s">
        <v>62</v>
      </c>
      <c r="G50" s="13">
        <f>39153.82*100/108.1</f>
        <v>36220</v>
      </c>
    </row>
    <row r="51" spans="1:7" ht="30" x14ac:dyDescent="0.25">
      <c r="A51" s="24">
        <v>45446</v>
      </c>
      <c r="B51" s="15" t="s">
        <v>8</v>
      </c>
      <c r="C51" s="15" t="s">
        <v>78</v>
      </c>
      <c r="D51" s="15" t="s">
        <v>76</v>
      </c>
      <c r="E51" s="14" t="s">
        <v>180</v>
      </c>
      <c r="F51" s="14" t="s">
        <v>181</v>
      </c>
      <c r="G51" s="13">
        <f>48123.95*100/108.1</f>
        <v>44517.992599444959</v>
      </c>
    </row>
    <row r="52" spans="1:7" ht="30" x14ac:dyDescent="0.25">
      <c r="A52" s="24">
        <v>45453</v>
      </c>
      <c r="B52" s="15" t="s">
        <v>14</v>
      </c>
      <c r="C52" s="15" t="s">
        <v>78</v>
      </c>
      <c r="D52" s="15" t="s">
        <v>76</v>
      </c>
      <c r="E52" s="14" t="s">
        <v>184</v>
      </c>
      <c r="F52" s="14" t="s">
        <v>95</v>
      </c>
      <c r="G52" s="13">
        <v>7100</v>
      </c>
    </row>
    <row r="53" spans="1:7" ht="30" x14ac:dyDescent="0.25">
      <c r="A53" s="24">
        <v>45453</v>
      </c>
      <c r="B53" s="15" t="s">
        <v>8</v>
      </c>
      <c r="C53" s="15" t="s">
        <v>78</v>
      </c>
      <c r="D53" s="15" t="s">
        <v>76</v>
      </c>
      <c r="E53" s="14" t="s">
        <v>65</v>
      </c>
      <c r="F53" s="14" t="s">
        <v>66</v>
      </c>
      <c r="G53" s="13">
        <f>21079.5*100/108.1</f>
        <v>19500</v>
      </c>
    </row>
    <row r="54" spans="1:7" ht="45" x14ac:dyDescent="0.25">
      <c r="A54" s="24">
        <v>45453</v>
      </c>
      <c r="B54" s="15" t="s">
        <v>81</v>
      </c>
      <c r="C54" s="15" t="s">
        <v>78</v>
      </c>
      <c r="D54" s="15" t="s">
        <v>76</v>
      </c>
      <c r="E54" s="14" t="s">
        <v>67</v>
      </c>
      <c r="F54" s="14" t="s">
        <v>68</v>
      </c>
      <c r="G54" s="13">
        <f>9082.55*100/108.1</f>
        <v>8401.9888991674361</v>
      </c>
    </row>
    <row r="55" spans="1:7" ht="45" x14ac:dyDescent="0.25">
      <c r="A55" s="24">
        <v>45453</v>
      </c>
      <c r="B55" s="15" t="s">
        <v>8</v>
      </c>
      <c r="C55" s="15" t="s">
        <v>78</v>
      </c>
      <c r="D55" s="15" t="s">
        <v>76</v>
      </c>
      <c r="E55" s="14" t="s">
        <v>64</v>
      </c>
      <c r="F55" s="14" t="s">
        <v>24</v>
      </c>
      <c r="G55" s="13">
        <f>9312.3*100/108.1</f>
        <v>8614.5235892691944</v>
      </c>
    </row>
    <row r="56" spans="1:7" ht="45" x14ac:dyDescent="0.25">
      <c r="A56" s="24">
        <v>45460</v>
      </c>
      <c r="B56" s="15" t="s">
        <v>14</v>
      </c>
      <c r="C56" s="15" t="s">
        <v>78</v>
      </c>
      <c r="D56" s="15" t="s">
        <v>76</v>
      </c>
      <c r="E56" s="14" t="s">
        <v>151</v>
      </c>
      <c r="F56" s="14" t="s">
        <v>63</v>
      </c>
      <c r="G56" s="13">
        <f>54590.5*100/108.1</f>
        <v>50500</v>
      </c>
    </row>
    <row r="57" spans="1:7" ht="30" x14ac:dyDescent="0.25">
      <c r="A57" s="24">
        <v>45460</v>
      </c>
      <c r="B57" s="15" t="s">
        <v>8</v>
      </c>
      <c r="C57" s="15" t="s">
        <v>78</v>
      </c>
      <c r="D57" s="15" t="s">
        <v>76</v>
      </c>
      <c r="E57" s="14" t="s">
        <v>96</v>
      </c>
      <c r="F57" s="14" t="s">
        <v>97</v>
      </c>
      <c r="G57" s="13">
        <f>8366.95*100/108.1</f>
        <v>7740.0092506938036</v>
      </c>
    </row>
    <row r="58" spans="1:7" ht="30" x14ac:dyDescent="0.25">
      <c r="A58" s="24">
        <v>45460</v>
      </c>
      <c r="B58" s="15" t="s">
        <v>8</v>
      </c>
      <c r="C58" s="15" t="s">
        <v>78</v>
      </c>
      <c r="D58" s="15" t="s">
        <v>76</v>
      </c>
      <c r="E58" s="14" t="s">
        <v>69</v>
      </c>
      <c r="F58" s="14" t="s">
        <v>20</v>
      </c>
      <c r="G58" s="13">
        <f>5826.6*100/108.1</f>
        <v>5390.0092506938026</v>
      </c>
    </row>
    <row r="59" spans="1:7" ht="30" x14ac:dyDescent="0.25">
      <c r="A59" s="24">
        <v>45460</v>
      </c>
      <c r="B59" s="15" t="s">
        <v>8</v>
      </c>
      <c r="C59" s="15" t="s">
        <v>78</v>
      </c>
      <c r="D59" s="15" t="s">
        <v>76</v>
      </c>
      <c r="E59" s="14" t="s">
        <v>70</v>
      </c>
      <c r="F59" s="14" t="s">
        <v>71</v>
      </c>
      <c r="G59" s="13">
        <f>17479*100/108.1</f>
        <v>16169.287696577245</v>
      </c>
    </row>
    <row r="60" spans="1:7" ht="30" x14ac:dyDescent="0.25">
      <c r="A60" s="24">
        <v>45460</v>
      </c>
      <c r="B60" s="15" t="s">
        <v>81</v>
      </c>
      <c r="C60" s="15" t="s">
        <v>78</v>
      </c>
      <c r="D60" s="15" t="s">
        <v>76</v>
      </c>
      <c r="E60" s="14" t="s">
        <v>98</v>
      </c>
      <c r="F60" s="14" t="s">
        <v>99</v>
      </c>
      <c r="G60" s="13">
        <f>27096.7*100/108.1</f>
        <v>25066.327474560592</v>
      </c>
    </row>
    <row r="61" spans="1:7" ht="45" x14ac:dyDescent="0.25">
      <c r="A61" s="24">
        <v>45467</v>
      </c>
      <c r="B61" s="15" t="s">
        <v>9</v>
      </c>
      <c r="C61" s="15" t="s">
        <v>78</v>
      </c>
      <c r="D61" s="15" t="s">
        <v>76</v>
      </c>
      <c r="E61" s="14" t="s">
        <v>72</v>
      </c>
      <c r="F61" s="14" t="s">
        <v>13</v>
      </c>
      <c r="G61" s="13">
        <f>12647.7*100/108.1</f>
        <v>11700</v>
      </c>
    </row>
    <row r="62" spans="1:7" ht="30" x14ac:dyDescent="0.25">
      <c r="A62" s="24">
        <v>45467</v>
      </c>
      <c r="B62" s="15" t="s">
        <v>8</v>
      </c>
      <c r="C62" s="15" t="s">
        <v>100</v>
      </c>
      <c r="D62" s="15" t="s">
        <v>76</v>
      </c>
      <c r="E62" s="14" t="s">
        <v>73</v>
      </c>
      <c r="F62" s="14" t="s">
        <v>152</v>
      </c>
      <c r="G62" s="13">
        <f>7061.95*100/108.1</f>
        <v>6532.793709528215</v>
      </c>
    </row>
    <row r="63" spans="1:7" ht="30" x14ac:dyDescent="0.25">
      <c r="A63" s="24">
        <v>45467</v>
      </c>
      <c r="B63" s="15" t="s">
        <v>81</v>
      </c>
      <c r="C63" s="15" t="s">
        <v>78</v>
      </c>
      <c r="D63" s="15" t="s">
        <v>76</v>
      </c>
      <c r="E63" s="14" t="s">
        <v>101</v>
      </c>
      <c r="F63" s="14" t="s">
        <v>74</v>
      </c>
      <c r="G63" s="13">
        <f>13848*100/108.1</f>
        <v>12810.36077705828</v>
      </c>
    </row>
    <row r="64" spans="1:7" ht="30" x14ac:dyDescent="0.25">
      <c r="A64" s="24">
        <v>45474</v>
      </c>
      <c r="B64" s="15" t="s">
        <v>14</v>
      </c>
      <c r="C64" s="15" t="s">
        <v>78</v>
      </c>
      <c r="D64" s="15" t="s">
        <v>76</v>
      </c>
      <c r="E64" s="14" t="s">
        <v>102</v>
      </c>
      <c r="F64" s="14" t="s">
        <v>46</v>
      </c>
      <c r="G64" s="13">
        <f>7237.3*100/108.1</f>
        <v>6695.0046253469018</v>
      </c>
    </row>
    <row r="65" spans="1:9" ht="30" x14ac:dyDescent="0.25">
      <c r="A65" s="24">
        <v>45481</v>
      </c>
      <c r="B65" s="15" t="s">
        <v>8</v>
      </c>
      <c r="C65" s="15" t="s">
        <v>78</v>
      </c>
      <c r="D65" s="15" t="s">
        <v>76</v>
      </c>
      <c r="E65" s="14" t="s">
        <v>103</v>
      </c>
      <c r="F65" s="14" t="s">
        <v>104</v>
      </c>
      <c r="G65" s="13">
        <f>13579*100/108.1</f>
        <v>12561.517113783535</v>
      </c>
    </row>
    <row r="66" spans="1:9" ht="45" x14ac:dyDescent="0.25">
      <c r="A66" s="24">
        <v>45488</v>
      </c>
      <c r="B66" s="15" t="s">
        <v>8</v>
      </c>
      <c r="C66" s="15" t="s">
        <v>78</v>
      </c>
      <c r="D66" s="15" t="s">
        <v>76</v>
      </c>
      <c r="E66" s="14" t="s">
        <v>106</v>
      </c>
      <c r="F66" s="14" t="s">
        <v>105</v>
      </c>
      <c r="G66" s="13">
        <f>14074.62*100/108.1</f>
        <v>13020</v>
      </c>
    </row>
    <row r="67" spans="1:9" ht="30" x14ac:dyDescent="0.25">
      <c r="A67" s="24">
        <v>45488</v>
      </c>
      <c r="B67" s="15" t="s">
        <v>8</v>
      </c>
      <c r="C67" s="15" t="s">
        <v>78</v>
      </c>
      <c r="D67" s="15" t="s">
        <v>76</v>
      </c>
      <c r="E67" s="14" t="s">
        <v>107</v>
      </c>
      <c r="F67" s="14" t="s">
        <v>13</v>
      </c>
      <c r="G67" s="13">
        <f>9891.15*100/108.1</f>
        <v>9150</v>
      </c>
    </row>
    <row r="68" spans="1:9" ht="45" x14ac:dyDescent="0.25">
      <c r="A68" s="24">
        <v>45495</v>
      </c>
      <c r="B68" s="15" t="s">
        <v>8</v>
      </c>
      <c r="C68" s="15" t="s">
        <v>78</v>
      </c>
      <c r="D68" s="15" t="s">
        <v>76</v>
      </c>
      <c r="E68" s="14" t="s">
        <v>108</v>
      </c>
      <c r="F68" s="14" t="s">
        <v>43</v>
      </c>
      <c r="G68" s="13">
        <f>6954.05*100/108.1</f>
        <v>6432.978723404256</v>
      </c>
    </row>
    <row r="69" spans="1:9" ht="30" x14ac:dyDescent="0.25">
      <c r="A69" s="24">
        <v>45495</v>
      </c>
      <c r="B69" s="15" t="s">
        <v>8</v>
      </c>
      <c r="C69" s="15" t="s">
        <v>78</v>
      </c>
      <c r="D69" s="15" t="s">
        <v>76</v>
      </c>
      <c r="E69" s="14" t="s">
        <v>111</v>
      </c>
      <c r="F69" s="14" t="s">
        <v>19</v>
      </c>
      <c r="G69" s="13">
        <f>8377.75*100/108.1</f>
        <v>7750</v>
      </c>
    </row>
    <row r="70" spans="1:9" ht="30" x14ac:dyDescent="0.25">
      <c r="A70" s="24">
        <v>45502</v>
      </c>
      <c r="B70" s="15" t="s">
        <v>8</v>
      </c>
      <c r="C70" s="15" t="s">
        <v>78</v>
      </c>
      <c r="D70" s="15" t="s">
        <v>76</v>
      </c>
      <c r="E70" s="14" t="s">
        <v>109</v>
      </c>
      <c r="F70" s="14" t="s">
        <v>110</v>
      </c>
      <c r="G70" s="13">
        <f>59002.15*100/108.1</f>
        <v>54581.082331174839</v>
      </c>
    </row>
    <row r="71" spans="1:9" ht="30" x14ac:dyDescent="0.25">
      <c r="A71" s="24">
        <v>45523</v>
      </c>
      <c r="B71" s="15" t="s">
        <v>81</v>
      </c>
      <c r="C71" s="15" t="s">
        <v>78</v>
      </c>
      <c r="D71" s="15" t="s">
        <v>76</v>
      </c>
      <c r="E71" s="14" t="s">
        <v>112</v>
      </c>
      <c r="F71" s="14" t="s">
        <v>116</v>
      </c>
      <c r="G71" s="13">
        <f>8940+600</f>
        <v>9540</v>
      </c>
    </row>
    <row r="72" spans="1:9" ht="30" x14ac:dyDescent="0.25">
      <c r="A72" s="24">
        <v>45523</v>
      </c>
      <c r="B72" s="15" t="s">
        <v>81</v>
      </c>
      <c r="C72" s="15" t="s">
        <v>78</v>
      </c>
      <c r="D72" s="15" t="s">
        <v>76</v>
      </c>
      <c r="E72" s="14" t="s">
        <v>113</v>
      </c>
      <c r="F72" s="14" t="s">
        <v>104</v>
      </c>
      <c r="G72" s="13">
        <f>9919.45*100/108.1</f>
        <v>9176.1794634597609</v>
      </c>
    </row>
    <row r="73" spans="1:9" ht="30" x14ac:dyDescent="0.25">
      <c r="A73" s="24">
        <v>45523</v>
      </c>
      <c r="B73" s="15" t="s">
        <v>8</v>
      </c>
      <c r="C73" s="15" t="s">
        <v>78</v>
      </c>
      <c r="D73" s="15" t="s">
        <v>76</v>
      </c>
      <c r="E73" s="14" t="s">
        <v>114</v>
      </c>
      <c r="F73" s="14" t="s">
        <v>115</v>
      </c>
      <c r="G73" s="13">
        <f>48674.1*100/108.1</f>
        <v>45026.919518963921</v>
      </c>
    </row>
    <row r="74" spans="1:9" ht="60" x14ac:dyDescent="0.25">
      <c r="A74" s="24">
        <v>45530</v>
      </c>
      <c r="B74" s="15" t="s">
        <v>9</v>
      </c>
      <c r="C74" s="15" t="s">
        <v>119</v>
      </c>
      <c r="D74" s="15" t="s">
        <v>76</v>
      </c>
      <c r="E74" s="14" t="s">
        <v>120</v>
      </c>
      <c r="F74" s="14" t="s">
        <v>121</v>
      </c>
      <c r="G74" s="13">
        <f>16738.2*100/108.1</f>
        <v>15483.996299722479</v>
      </c>
    </row>
    <row r="75" spans="1:9" ht="30" x14ac:dyDescent="0.25">
      <c r="A75" s="24">
        <v>45530</v>
      </c>
      <c r="B75" s="15" t="s">
        <v>81</v>
      </c>
      <c r="C75" s="15" t="s">
        <v>119</v>
      </c>
      <c r="D75" s="15" t="s">
        <v>76</v>
      </c>
      <c r="E75" s="14" t="s">
        <v>117</v>
      </c>
      <c r="F75" s="14" t="s">
        <v>118</v>
      </c>
      <c r="G75" s="13">
        <f>9155*100/108.1</f>
        <v>8469.0101757631819</v>
      </c>
    </row>
    <row r="76" spans="1:9" ht="30" x14ac:dyDescent="0.25">
      <c r="A76" s="24">
        <v>45530</v>
      </c>
      <c r="B76" s="15" t="s">
        <v>14</v>
      </c>
      <c r="C76" s="15" t="s">
        <v>119</v>
      </c>
      <c r="D76" s="15" t="s">
        <v>76</v>
      </c>
      <c r="E76" s="14" t="s">
        <v>27</v>
      </c>
      <c r="F76" s="14" t="s">
        <v>122</v>
      </c>
      <c r="G76" s="13">
        <f>94047*100/108.1</f>
        <v>87000</v>
      </c>
      <c r="I76" s="21"/>
    </row>
    <row r="77" spans="1:9" ht="30" x14ac:dyDescent="0.25">
      <c r="A77" s="24">
        <v>45537</v>
      </c>
      <c r="B77" s="15" t="s">
        <v>14</v>
      </c>
      <c r="C77" s="15" t="s">
        <v>119</v>
      </c>
      <c r="D77" s="15" t="s">
        <v>76</v>
      </c>
      <c r="E77" s="14" t="s">
        <v>124</v>
      </c>
      <c r="F77" s="14" t="s">
        <v>123</v>
      </c>
      <c r="G77" s="13">
        <f>65400.5*100/108.1</f>
        <v>60500</v>
      </c>
      <c r="I77" s="21"/>
    </row>
    <row r="78" spans="1:9" ht="45" x14ac:dyDescent="0.25">
      <c r="A78" s="24">
        <v>45544</v>
      </c>
      <c r="B78" s="15" t="s">
        <v>81</v>
      </c>
      <c r="C78" s="15" t="s">
        <v>119</v>
      </c>
      <c r="D78" s="15" t="s">
        <v>76</v>
      </c>
      <c r="E78" s="14" t="s">
        <v>126</v>
      </c>
      <c r="F78" s="14" t="s">
        <v>125</v>
      </c>
      <c r="G78" s="13">
        <f>7368.8*100/108.1</f>
        <v>6816.6512488436638</v>
      </c>
      <c r="I78" s="21"/>
    </row>
    <row r="79" spans="1:9" ht="30" x14ac:dyDescent="0.25">
      <c r="A79" s="24">
        <v>45544</v>
      </c>
      <c r="B79" s="15" t="s">
        <v>14</v>
      </c>
      <c r="C79" s="15" t="s">
        <v>119</v>
      </c>
      <c r="D79" s="15" t="s">
        <v>76</v>
      </c>
      <c r="E79" s="14" t="s">
        <v>127</v>
      </c>
      <c r="F79" s="14" t="s">
        <v>128</v>
      </c>
      <c r="G79" s="13">
        <v>8480</v>
      </c>
      <c r="I79" s="21"/>
    </row>
    <row r="80" spans="1:9" ht="30" x14ac:dyDescent="0.25">
      <c r="A80" s="24">
        <v>45551</v>
      </c>
      <c r="B80" s="15" t="s">
        <v>8</v>
      </c>
      <c r="C80" s="15" t="s">
        <v>119</v>
      </c>
      <c r="D80" s="15" t="s">
        <v>76</v>
      </c>
      <c r="E80" s="14" t="s">
        <v>129</v>
      </c>
      <c r="F80" s="14" t="s">
        <v>99</v>
      </c>
      <c r="G80" s="13">
        <f>13301.2*100/108.1</f>
        <v>12304.532839962998</v>
      </c>
      <c r="I80" s="21"/>
    </row>
    <row r="81" spans="1:9" ht="30" x14ac:dyDescent="0.25">
      <c r="A81" s="24">
        <v>45551</v>
      </c>
      <c r="B81" s="15" t="s">
        <v>81</v>
      </c>
      <c r="C81" s="15" t="s">
        <v>119</v>
      </c>
      <c r="D81" s="15" t="s">
        <v>76</v>
      </c>
      <c r="E81" s="14" t="s">
        <v>130</v>
      </c>
      <c r="F81" s="14" t="s">
        <v>60</v>
      </c>
      <c r="G81" s="13">
        <f>8390*100/108.1</f>
        <v>7761.3320999074931</v>
      </c>
      <c r="I81" s="21"/>
    </row>
    <row r="82" spans="1:9" ht="30" x14ac:dyDescent="0.25">
      <c r="A82" s="24">
        <v>45551</v>
      </c>
      <c r="B82" s="15" t="s">
        <v>81</v>
      </c>
      <c r="C82" s="15" t="s">
        <v>119</v>
      </c>
      <c r="D82" s="15" t="s">
        <v>76</v>
      </c>
      <c r="E82" s="14" t="s">
        <v>131</v>
      </c>
      <c r="F82" s="14" t="s">
        <v>132</v>
      </c>
      <c r="G82" s="13">
        <f>7253.94*100/108.1</f>
        <v>6710.3977798334881</v>
      </c>
      <c r="I82" s="21"/>
    </row>
    <row r="83" spans="1:9" ht="30" x14ac:dyDescent="0.25">
      <c r="A83" s="24">
        <v>45558</v>
      </c>
      <c r="B83" s="15" t="s">
        <v>14</v>
      </c>
      <c r="C83" s="15" t="s">
        <v>119</v>
      </c>
      <c r="D83" s="15" t="s">
        <v>76</v>
      </c>
      <c r="E83" s="14" t="s">
        <v>133</v>
      </c>
      <c r="F83" s="14" t="s">
        <v>134</v>
      </c>
      <c r="G83" s="13">
        <f>27025*100/108.1</f>
        <v>25000</v>
      </c>
      <c r="I83" s="21"/>
    </row>
    <row r="84" spans="1:9" ht="30" x14ac:dyDescent="0.25">
      <c r="A84" s="24">
        <v>45558</v>
      </c>
      <c r="B84" s="15" t="s">
        <v>14</v>
      </c>
      <c r="C84" s="15" t="s">
        <v>119</v>
      </c>
      <c r="D84" s="15" t="s">
        <v>76</v>
      </c>
      <c r="E84" s="14" t="s">
        <v>138</v>
      </c>
      <c r="F84" s="14" t="s">
        <v>135</v>
      </c>
      <c r="G84" s="13">
        <f>5405*100/108.1</f>
        <v>5000</v>
      </c>
      <c r="I84" s="21"/>
    </row>
    <row r="85" spans="1:9" ht="45" x14ac:dyDescent="0.25">
      <c r="A85" s="24">
        <v>45558</v>
      </c>
      <c r="B85" s="15" t="s">
        <v>14</v>
      </c>
      <c r="C85" s="15" t="s">
        <v>119</v>
      </c>
      <c r="D85" s="15" t="s">
        <v>76</v>
      </c>
      <c r="E85" s="14" t="s">
        <v>136</v>
      </c>
      <c r="F85" s="14" t="s">
        <v>137</v>
      </c>
      <c r="G85" s="13">
        <f>5405*100/108.1</f>
        <v>5000</v>
      </c>
      <c r="I85" s="21"/>
    </row>
    <row r="86" spans="1:9" ht="30" x14ac:dyDescent="0.25">
      <c r="A86" s="24">
        <v>45558</v>
      </c>
      <c r="B86" s="15" t="s">
        <v>14</v>
      </c>
      <c r="C86" s="15" t="s">
        <v>119</v>
      </c>
      <c r="D86" s="15" t="s">
        <v>76</v>
      </c>
      <c r="E86" s="14" t="s">
        <v>139</v>
      </c>
      <c r="F86" s="14" t="s">
        <v>140</v>
      </c>
      <c r="G86" s="13">
        <f>9900*100/108.1</f>
        <v>9158.1868640148023</v>
      </c>
      <c r="I86" s="21"/>
    </row>
    <row r="87" spans="1:9" ht="30" x14ac:dyDescent="0.25">
      <c r="A87" s="24">
        <v>45558</v>
      </c>
      <c r="B87" s="15" t="s">
        <v>9</v>
      </c>
      <c r="C87" s="15" t="s">
        <v>119</v>
      </c>
      <c r="D87" s="15" t="s">
        <v>76</v>
      </c>
      <c r="E87" s="14" t="s">
        <v>141</v>
      </c>
      <c r="F87" s="14" t="s">
        <v>19</v>
      </c>
      <c r="G87" s="13">
        <f>32213.8*100/108.1</f>
        <v>29800</v>
      </c>
      <c r="I87" s="21"/>
    </row>
    <row r="88" spans="1:9" ht="30" x14ac:dyDescent="0.25">
      <c r="A88" s="24">
        <v>45565</v>
      </c>
      <c r="B88" s="15" t="s">
        <v>14</v>
      </c>
      <c r="C88" s="15" t="s">
        <v>119</v>
      </c>
      <c r="D88" s="15" t="s">
        <v>76</v>
      </c>
      <c r="E88" s="14" t="s">
        <v>142</v>
      </c>
      <c r="F88" s="14" t="s">
        <v>60</v>
      </c>
      <c r="G88" s="13">
        <f>15728.55*100/108.1</f>
        <v>14550</v>
      </c>
      <c r="I88" s="21"/>
    </row>
    <row r="89" spans="1:9" ht="30" x14ac:dyDescent="0.25">
      <c r="A89" s="24">
        <v>45572</v>
      </c>
      <c r="B89" s="15" t="s">
        <v>8</v>
      </c>
      <c r="C89" s="15" t="s">
        <v>119</v>
      </c>
      <c r="D89" s="15" t="s">
        <v>76</v>
      </c>
      <c r="E89" s="14" t="s">
        <v>173</v>
      </c>
      <c r="F89" s="14" t="s">
        <v>60</v>
      </c>
      <c r="G89" s="13">
        <f>24917.05*100/108.1</f>
        <v>23050</v>
      </c>
      <c r="I89" s="21"/>
    </row>
    <row r="90" spans="1:9" ht="30" x14ac:dyDescent="0.25">
      <c r="A90" s="24">
        <v>45579</v>
      </c>
      <c r="B90" s="15" t="s">
        <v>8</v>
      </c>
      <c r="C90" s="15" t="s">
        <v>119</v>
      </c>
      <c r="D90" s="15" t="s">
        <v>76</v>
      </c>
      <c r="E90" s="14" t="s">
        <v>153</v>
      </c>
      <c r="F90" s="14" t="s">
        <v>99</v>
      </c>
      <c r="G90" s="13">
        <f>6881.5*100/108.1</f>
        <v>6365.8649398704911</v>
      </c>
      <c r="I90" s="21"/>
    </row>
    <row r="91" spans="1:9" ht="30" x14ac:dyDescent="0.25">
      <c r="A91" s="24">
        <v>45586</v>
      </c>
      <c r="B91" s="15" t="s">
        <v>81</v>
      </c>
      <c r="C91" s="15" t="s">
        <v>119</v>
      </c>
      <c r="D91" s="15" t="s">
        <v>76</v>
      </c>
      <c r="E91" s="14" t="s">
        <v>154</v>
      </c>
      <c r="F91" s="14" t="s">
        <v>155</v>
      </c>
      <c r="G91" s="13">
        <f>16728.5*100/108.1</f>
        <v>15475.023126734506</v>
      </c>
      <c r="I91" s="21"/>
    </row>
    <row r="92" spans="1:9" ht="45" x14ac:dyDescent="0.25">
      <c r="A92" s="24">
        <v>45586</v>
      </c>
      <c r="B92" s="15" t="s">
        <v>81</v>
      </c>
      <c r="C92" s="15" t="s">
        <v>119</v>
      </c>
      <c r="D92" s="15" t="s">
        <v>76</v>
      </c>
      <c r="E92" s="14" t="s">
        <v>156</v>
      </c>
      <c r="F92" s="14" t="s">
        <v>157</v>
      </c>
      <c r="G92" s="13">
        <f>54586.2*100/108.1</f>
        <v>50496.022201665124</v>
      </c>
      <c r="I92" s="21"/>
    </row>
    <row r="93" spans="1:9" ht="30" x14ac:dyDescent="0.25">
      <c r="A93" s="24">
        <v>45586</v>
      </c>
      <c r="B93" s="15" t="s">
        <v>14</v>
      </c>
      <c r="C93" s="15" t="s">
        <v>119</v>
      </c>
      <c r="D93" s="15" t="s">
        <v>76</v>
      </c>
      <c r="E93" s="14" t="s">
        <v>158</v>
      </c>
      <c r="F93" s="14" t="s">
        <v>174</v>
      </c>
      <c r="G93" s="13">
        <f>12000*100/108.1</f>
        <v>11100.832562442183</v>
      </c>
      <c r="I93" s="21"/>
    </row>
    <row r="94" spans="1:9" ht="30" x14ac:dyDescent="0.25">
      <c r="A94" s="24">
        <v>45586</v>
      </c>
      <c r="B94" s="15" t="s">
        <v>14</v>
      </c>
      <c r="C94" s="15" t="s">
        <v>119</v>
      </c>
      <c r="D94" s="15" t="s">
        <v>76</v>
      </c>
      <c r="E94" s="14" t="s">
        <v>159</v>
      </c>
      <c r="F94" s="14" t="s">
        <v>134</v>
      </c>
      <c r="G94" s="13">
        <f>6800*100/108.1</f>
        <v>6290.4717853839038</v>
      </c>
      <c r="I94" s="21"/>
    </row>
    <row r="95" spans="1:9" ht="30" x14ac:dyDescent="0.25">
      <c r="A95" s="24">
        <v>45586</v>
      </c>
      <c r="B95" s="15" t="s">
        <v>81</v>
      </c>
      <c r="C95" s="15" t="s">
        <v>119</v>
      </c>
      <c r="D95" s="15" t="s">
        <v>76</v>
      </c>
      <c r="E95" s="14" t="s">
        <v>160</v>
      </c>
      <c r="F95" s="14" t="s">
        <v>104</v>
      </c>
      <c r="G95" s="13">
        <f>8231.25*100/108.1</f>
        <v>7614.4773358001858</v>
      </c>
      <c r="I95" s="21"/>
    </row>
    <row r="96" spans="1:9" ht="30" x14ac:dyDescent="0.25">
      <c r="A96" s="24">
        <v>45587</v>
      </c>
      <c r="B96" s="15" t="s">
        <v>8</v>
      </c>
      <c r="C96" s="15" t="s">
        <v>119</v>
      </c>
      <c r="D96" s="15" t="s">
        <v>76</v>
      </c>
      <c r="E96" s="14" t="s">
        <v>182</v>
      </c>
      <c r="F96" s="14" t="s">
        <v>99</v>
      </c>
      <c r="G96" s="13">
        <f>29549.8*100/108.1</f>
        <v>27335.615171137837</v>
      </c>
      <c r="I96" s="21"/>
    </row>
    <row r="97" spans="1:9" ht="30" x14ac:dyDescent="0.25">
      <c r="A97" s="24">
        <v>45600</v>
      </c>
      <c r="B97" s="15" t="s">
        <v>14</v>
      </c>
      <c r="C97" s="15" t="s">
        <v>119</v>
      </c>
      <c r="D97" s="15" t="s">
        <v>76</v>
      </c>
      <c r="E97" s="14" t="s">
        <v>175</v>
      </c>
      <c r="F97" s="14" t="s">
        <v>134</v>
      </c>
      <c r="G97" s="13">
        <f>26500*100/108.1</f>
        <v>24514.338575393154</v>
      </c>
      <c r="I97" s="21"/>
    </row>
    <row r="98" spans="1:9" ht="30" x14ac:dyDescent="0.25">
      <c r="A98" s="24">
        <v>45600</v>
      </c>
      <c r="B98" s="15" t="s">
        <v>14</v>
      </c>
      <c r="C98" s="15" t="s">
        <v>119</v>
      </c>
      <c r="D98" s="15" t="s">
        <v>76</v>
      </c>
      <c r="E98" s="14" t="s">
        <v>175</v>
      </c>
      <c r="F98" s="14" t="s">
        <v>37</v>
      </c>
      <c r="G98" s="13">
        <f>15007.25*100/108.1</f>
        <v>13882.747456059205</v>
      </c>
      <c r="I98" s="21"/>
    </row>
    <row r="99" spans="1:9" ht="45" x14ac:dyDescent="0.25">
      <c r="A99" s="24">
        <v>45600</v>
      </c>
      <c r="B99" s="15" t="s">
        <v>14</v>
      </c>
      <c r="C99" s="15" t="s">
        <v>119</v>
      </c>
      <c r="D99" s="15" t="s">
        <v>76</v>
      </c>
      <c r="E99" s="14" t="s">
        <v>176</v>
      </c>
      <c r="F99" s="14" t="s">
        <v>177</v>
      </c>
      <c r="G99" s="13">
        <f>11421*100/108.1</f>
        <v>10565.217391304348</v>
      </c>
      <c r="I99" s="21"/>
    </row>
    <row r="100" spans="1:9" ht="30" x14ac:dyDescent="0.25">
      <c r="A100" s="24">
        <v>45614</v>
      </c>
      <c r="B100" s="15" t="s">
        <v>14</v>
      </c>
      <c r="C100" s="15" t="s">
        <v>119</v>
      </c>
      <c r="D100" s="15" t="s">
        <v>76</v>
      </c>
      <c r="E100" s="14" t="s">
        <v>161</v>
      </c>
      <c r="F100" s="14" t="s">
        <v>162</v>
      </c>
      <c r="G100" s="13">
        <f>6000*100/108.1</f>
        <v>5550.4162812210916</v>
      </c>
      <c r="I100" s="21"/>
    </row>
    <row r="101" spans="1:9" ht="30" x14ac:dyDescent="0.25">
      <c r="A101" s="24">
        <v>45614</v>
      </c>
      <c r="B101" s="15" t="s">
        <v>8</v>
      </c>
      <c r="C101" s="15" t="s">
        <v>119</v>
      </c>
      <c r="D101" s="15" t="s">
        <v>76</v>
      </c>
      <c r="E101" s="14" t="s">
        <v>163</v>
      </c>
      <c r="F101" s="14" t="s">
        <v>13</v>
      </c>
      <c r="G101" s="13">
        <f>7404.85*100/108.1</f>
        <v>6850</v>
      </c>
      <c r="I101" s="21"/>
    </row>
    <row r="102" spans="1:9" ht="30" x14ac:dyDescent="0.25">
      <c r="A102" s="24">
        <v>45614</v>
      </c>
      <c r="B102" s="15" t="s">
        <v>14</v>
      </c>
      <c r="C102" s="15" t="s">
        <v>119</v>
      </c>
      <c r="D102" s="15" t="s">
        <v>76</v>
      </c>
      <c r="E102" s="14" t="s">
        <v>164</v>
      </c>
      <c r="F102" s="14" t="s">
        <v>46</v>
      </c>
      <c r="G102" s="13">
        <f>25330*100/108.1</f>
        <v>23432.007400555041</v>
      </c>
      <c r="I102" s="21"/>
    </row>
    <row r="103" spans="1:9" ht="45" x14ac:dyDescent="0.25">
      <c r="A103" s="24">
        <v>45621</v>
      </c>
      <c r="B103" s="15" t="s">
        <v>9</v>
      </c>
      <c r="C103" s="15" t="s">
        <v>119</v>
      </c>
      <c r="D103" s="15" t="s">
        <v>76</v>
      </c>
      <c r="E103" s="14" t="s">
        <v>165</v>
      </c>
      <c r="F103" s="14" t="s">
        <v>105</v>
      </c>
      <c r="G103" s="13">
        <f>7180.55*100/108.1</f>
        <v>6642.5069380203522</v>
      </c>
      <c r="I103" s="21"/>
    </row>
    <row r="104" spans="1:9" ht="30" x14ac:dyDescent="0.25">
      <c r="A104" s="24">
        <v>45628</v>
      </c>
      <c r="B104" s="15" t="s">
        <v>8</v>
      </c>
      <c r="C104" s="15" t="s">
        <v>119</v>
      </c>
      <c r="D104" s="15" t="s">
        <v>76</v>
      </c>
      <c r="E104" s="14" t="s">
        <v>166</v>
      </c>
      <c r="F104" s="14" t="s">
        <v>99</v>
      </c>
      <c r="G104" s="13">
        <f>163782.7*100/108.1</f>
        <v>151510.36077705832</v>
      </c>
      <c r="I104" s="21"/>
    </row>
    <row r="105" spans="1:9" ht="30" x14ac:dyDescent="0.25">
      <c r="A105" s="24">
        <v>45628</v>
      </c>
      <c r="B105" s="15" t="s">
        <v>8</v>
      </c>
      <c r="C105" s="15" t="s">
        <v>119</v>
      </c>
      <c r="D105" s="15" t="s">
        <v>76</v>
      </c>
      <c r="E105" s="14" t="s">
        <v>178</v>
      </c>
      <c r="F105" s="14" t="s">
        <v>60</v>
      </c>
      <c r="G105" s="13">
        <f>12750*100/108.1</f>
        <v>11794.634597594821</v>
      </c>
      <c r="I105" s="21"/>
    </row>
    <row r="106" spans="1:9" ht="30" x14ac:dyDescent="0.25">
      <c r="A106" s="24">
        <v>45635</v>
      </c>
      <c r="B106" s="15" t="s">
        <v>14</v>
      </c>
      <c r="C106" s="15" t="s">
        <v>119</v>
      </c>
      <c r="D106" s="15" t="s">
        <v>76</v>
      </c>
      <c r="E106" s="14" t="s">
        <v>168</v>
      </c>
      <c r="F106" s="14" t="s">
        <v>167</v>
      </c>
      <c r="G106" s="13">
        <f>128126.4</f>
        <v>128126.39999999999</v>
      </c>
      <c r="I106" s="21"/>
    </row>
    <row r="107" spans="1:9" ht="30" x14ac:dyDescent="0.25">
      <c r="A107" s="24">
        <v>45635</v>
      </c>
      <c r="B107" s="15" t="s">
        <v>81</v>
      </c>
      <c r="C107" s="15" t="s">
        <v>119</v>
      </c>
      <c r="D107" s="15" t="s">
        <v>76</v>
      </c>
      <c r="E107" s="14" t="s">
        <v>183</v>
      </c>
      <c r="F107" s="14" t="s">
        <v>169</v>
      </c>
      <c r="G107" s="13">
        <f>7000*100/108.1</f>
        <v>6475.4856614246073</v>
      </c>
      <c r="I107" s="21"/>
    </row>
    <row r="108" spans="1:9" ht="44.25" customHeight="1" x14ac:dyDescent="0.25">
      <c r="A108" s="24">
        <v>45642</v>
      </c>
      <c r="B108" s="15" t="s">
        <v>14</v>
      </c>
      <c r="C108" s="15" t="s">
        <v>119</v>
      </c>
      <c r="D108" s="15" t="s">
        <v>76</v>
      </c>
      <c r="E108" s="14" t="s">
        <v>170</v>
      </c>
      <c r="F108" s="14" t="s">
        <v>171</v>
      </c>
      <c r="G108" s="13">
        <f>121072*100/108.1</f>
        <v>112000</v>
      </c>
      <c r="I108" s="21"/>
    </row>
    <row r="109" spans="1:9" ht="30" x14ac:dyDescent="0.25">
      <c r="A109" s="24">
        <v>45642</v>
      </c>
      <c r="B109" s="15" t="s">
        <v>9</v>
      </c>
      <c r="C109" s="15" t="s">
        <v>119</v>
      </c>
      <c r="D109" s="15" t="s">
        <v>76</v>
      </c>
      <c r="E109" s="14" t="s">
        <v>172</v>
      </c>
      <c r="F109" s="14" t="s">
        <v>121</v>
      </c>
      <c r="G109" s="13">
        <f>20904.35*100/108.1</f>
        <v>19337.974098057352</v>
      </c>
      <c r="I109" s="21"/>
    </row>
    <row r="113" spans="1:2" x14ac:dyDescent="0.25">
      <c r="A113" t="s">
        <v>75</v>
      </c>
      <c r="B113" s="44">
        <v>45692</v>
      </c>
    </row>
  </sheetData>
  <autoFilter ref="A11:G11" xr:uid="{00000000-0009-0000-0000-000000000000}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&amp;Rpagina &amp;P di  &amp;N</oddHeader>
    <oddFooter xml:space="preserve">&amp;L&amp;Z&amp;F/&amp;A&amp;R&amp;D
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5</xdr:col>
                <xdr:colOff>600075</xdr:colOff>
                <xdr:row>1</xdr:row>
                <xdr:rowOff>66675</xdr:rowOff>
              </from>
              <to>
                <xdr:col>5</xdr:col>
                <xdr:colOff>1476375</xdr:colOff>
                <xdr:row>6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Lista ufficiale</vt:lpstr>
      <vt:lpstr>'Lista ufficiale'!Titoli_stampa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Mazzali</dc:creator>
  <cp:lastModifiedBy>Samantha Martinetti</cp:lastModifiedBy>
  <cp:lastPrinted>2025-01-29T13:21:21Z</cp:lastPrinted>
  <dcterms:created xsi:type="dcterms:W3CDTF">2023-03-26T22:06:42Z</dcterms:created>
  <dcterms:modified xsi:type="dcterms:W3CDTF">2025-02-04T08:53:08Z</dcterms:modified>
</cp:coreProperties>
</file>