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\Downloads\"/>
    </mc:Choice>
  </mc:AlternateContent>
  <xr:revisionPtr revIDLastSave="0" documentId="13_ncr:1_{CBBAEA6B-3F83-48D1-8D88-DFF9F0ABC3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ufficiale" sheetId="1" r:id="rId1"/>
  </sheets>
  <definedNames>
    <definedName name="_xlnm._FilterDatabase" localSheetId="0" hidden="1">'Lista ufficiale'!$A$11:$G$11</definedName>
    <definedName name="_xlnm.Print_Titles" localSheetId="0">'Lista ufficiale'!$1:$11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2" i="1" l="1"/>
  <c r="G131" i="1"/>
  <c r="G130" i="1"/>
  <c r="G129" i="1"/>
  <c r="G119" i="1"/>
  <c r="G110" i="1"/>
  <c r="G106" i="1"/>
  <c r="G135" i="1"/>
  <c r="G134" i="1"/>
  <c r="G133" i="1"/>
  <c r="G128" i="1"/>
  <c r="G127" i="1"/>
  <c r="G126" i="1"/>
  <c r="G124" i="1"/>
  <c r="G123" i="1"/>
  <c r="G122" i="1"/>
  <c r="G121" i="1"/>
  <c r="G120" i="1"/>
  <c r="G118" i="1"/>
  <c r="G116" i="1"/>
  <c r="G115" i="1"/>
  <c r="G114" i="1"/>
  <c r="G113" i="1"/>
  <c r="G112" i="1"/>
  <c r="G111" i="1"/>
  <c r="G109" i="1"/>
  <c r="G108" i="1"/>
  <c r="G107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89" i="1"/>
  <c r="G91" i="1"/>
  <c r="G90" i="1"/>
  <c r="G87" i="1"/>
  <c r="G86" i="1"/>
  <c r="G85" i="1"/>
  <c r="G84" i="1"/>
  <c r="G81" i="1"/>
  <c r="G61" i="1" l="1"/>
  <c r="G49" i="1"/>
  <c r="G41" i="1"/>
  <c r="G23" i="1"/>
  <c r="G22" i="1"/>
  <c r="G13" i="1"/>
  <c r="G83" i="1"/>
  <c r="G82" i="1"/>
  <c r="G80" i="1"/>
  <c r="G79" i="1"/>
  <c r="G78" i="1"/>
  <c r="G77" i="1"/>
  <c r="G76" i="1"/>
  <c r="G75" i="1"/>
  <c r="G74" i="1"/>
  <c r="G73" i="1"/>
  <c r="G72" i="1"/>
  <c r="G64" i="1"/>
  <c r="G59" i="1"/>
  <c r="G57" i="1"/>
  <c r="G54" i="1"/>
  <c r="G51" i="1"/>
  <c r="G44" i="1"/>
  <c r="G68" i="1"/>
  <c r="G39" i="1"/>
  <c r="G35" i="1"/>
  <c r="G28" i="1"/>
  <c r="G21" i="1"/>
  <c r="G20" i="1"/>
  <c r="G12" i="1"/>
  <c r="G19" i="1"/>
  <c r="G14" i="1"/>
  <c r="G16" i="1"/>
  <c r="G18" i="1"/>
  <c r="G15" i="1"/>
  <c r="G17" i="1"/>
  <c r="G25" i="1"/>
  <c r="G27" i="1"/>
  <c r="G26" i="1"/>
  <c r="G30" i="1"/>
  <c r="G29" i="1"/>
  <c r="G31" i="1"/>
  <c r="G32" i="1"/>
  <c r="G38" i="1"/>
  <c r="G34" i="1"/>
  <c r="G37" i="1"/>
  <c r="G33" i="1"/>
  <c r="G40" i="1"/>
  <c r="G24" i="1"/>
  <c r="G42" i="1"/>
  <c r="G43" i="1"/>
  <c r="G47" i="1"/>
  <c r="G48" i="1"/>
  <c r="G46" i="1"/>
  <c r="G45" i="1"/>
  <c r="G50" i="1"/>
  <c r="G52" i="1"/>
  <c r="G55" i="1"/>
  <c r="G56" i="1"/>
  <c r="G53" i="1"/>
  <c r="G58" i="1"/>
  <c r="G60" i="1"/>
  <c r="G62" i="1"/>
  <c r="G65" i="1"/>
  <c r="G66" i="1"/>
  <c r="G63" i="1"/>
  <c r="G69" i="1"/>
  <c r="G71" i="1"/>
  <c r="G70" i="1"/>
  <c r="G36" i="1"/>
</calcChain>
</file>

<file path=xl/sharedStrings.xml><?xml version="1.0" encoding="utf-8"?>
<sst xmlns="http://schemas.openxmlformats.org/spreadsheetml/2006/main" count="757" uniqueCount="328">
  <si>
    <t>COMUNE DI MONTECENERI</t>
  </si>
  <si>
    <t>(art.7 cpv.5 LCPubb)</t>
  </si>
  <si>
    <t>Data aggiudicazione</t>
  </si>
  <si>
    <t>Tipo Commessa</t>
  </si>
  <si>
    <t>Tipo procedura</t>
  </si>
  <si>
    <t>Tipo prestazione</t>
  </si>
  <si>
    <t>Deliberatario</t>
  </si>
  <si>
    <t>Colonna da nascondere</t>
  </si>
  <si>
    <t>Importo CHF (IVA inclusa)</t>
  </si>
  <si>
    <t>Importo CHF 
(IVA esclusa)</t>
  </si>
  <si>
    <t>Data pubblicazione:</t>
  </si>
  <si>
    <t>art.7 cpv.3 lett.h LCPubb</t>
  </si>
  <si>
    <t xml:space="preserve">Incarico diretto </t>
  </si>
  <si>
    <t>Incarico diretto</t>
  </si>
  <si>
    <t>Commessa di fornitura</t>
  </si>
  <si>
    <t>incarico diretto</t>
  </si>
  <si>
    <r>
      <t xml:space="preserve">Lista delle commesse dell'anno </t>
    </r>
    <r>
      <rPr>
        <sz val="12"/>
        <color rgb="FFFF0000"/>
        <rFont val="Calibri"/>
        <family val="2"/>
        <scheme val="minor"/>
      </rPr>
      <t>2025</t>
    </r>
    <r>
      <rPr>
        <sz val="12"/>
        <color theme="1"/>
        <rFont val="Calibri"/>
        <family val="2"/>
        <scheme val="minor"/>
      </rPr>
      <t xml:space="preserve"> aggiudicate ad invito o incarico con importi superiori a Fr. 5'000.00 (IVA esclusa)</t>
    </r>
  </si>
  <si>
    <t>RM</t>
  </si>
  <si>
    <t>183/2025</t>
  </si>
  <si>
    <t>Fornitura e posa barriera stradale elastica</t>
  </si>
  <si>
    <t>Kesmon SA, via Cantonale 22, 6917 Barbengo</t>
  </si>
  <si>
    <t>Opere da impresario costruttore cordolo muro stradale</t>
  </si>
  <si>
    <t>Galli Costruzioni SA, via Cantonale 56, 6802 Rivera</t>
  </si>
  <si>
    <t>Michele Zago Architetti, viale Cattaneo 21, 6900 Lugano</t>
  </si>
  <si>
    <t>Commessa di prestazioni di servizio</t>
  </si>
  <si>
    <t>Gestione naturalistica paludi Monti di Medeglia</t>
  </si>
  <si>
    <t>Commessa edile secondaria</t>
  </si>
  <si>
    <t xml:space="preserve">Opere da impresario forestale ai Monti di Medeglia </t>
  </si>
  <si>
    <t>Opere da selvicoltore per il ripristino del sentiero Petasio al mappale n.1284 RFD Monteceneri sezione Rivera</t>
  </si>
  <si>
    <t>DENA Lavori forestali SA, via Ör 9, 6949 Comano</t>
  </si>
  <si>
    <t>Edilstrada SA, Via Industria 2, 6807 Taverne</t>
  </si>
  <si>
    <t>Commessa edile primaria</t>
  </si>
  <si>
    <t>Opere di pavimentazione per la realizzazione della nuova strada di collegamento tra la Via Ca da Sura e Via al Mulin nel quartiere di Camignolo</t>
  </si>
  <si>
    <t>DENA lavori forestali SA, via Ör 9, 6949 Comano</t>
  </si>
  <si>
    <t>Fornitura e posa di 3 nuovi punti luce in Via Ca da Sura a Camignolo</t>
  </si>
  <si>
    <t>AIL SA, Via Industria 2, 6933 Muzzano</t>
  </si>
  <si>
    <t>Modifica all'impianto d'illuminazione pubblica in Via al Mulin</t>
  </si>
  <si>
    <t>Opere da idraulico per la nuova strada di collegamento Via al Mulin nel quartiere di Camignolo</t>
  </si>
  <si>
    <t>Camponovo Sanitari SA, Via Roncaccio 9, 6802 Rivera</t>
  </si>
  <si>
    <t>Ampliamento caserma pompieri Rivera - Fornitura corpi illuminanti</t>
  </si>
  <si>
    <t>Regent Svizzera SA, Via al Mulino 22, 6814 Cadempino</t>
  </si>
  <si>
    <t>Ampliamento caserma pompieri Rivera - Fornitura arredi interni</t>
  </si>
  <si>
    <t>Dick &amp; Figli SA, Via G.Buffi 10, 6900 Lugano</t>
  </si>
  <si>
    <t>Sostituzione canaletta sottopasso USTRA via della Valleggia, Rivera</t>
  </si>
  <si>
    <t>Ennio Ferrari SA, Via Perdaglie 1, 6572 Lodrino</t>
  </si>
  <si>
    <t>Manutenzione straordinaria campi sportivi Quadrifoglio e Camignolo</t>
  </si>
  <si>
    <t>Orticola Bassi SA, Strada delle Gaggiole 16, S. Antonino</t>
  </si>
  <si>
    <t>Riparazione del gruppo valvole dell'ascensore presso il Centro diurno di Rivera</t>
  </si>
  <si>
    <t>AS Ascensori SA, Via San Gottardo 24a, 6532 Arbedo-Castione</t>
  </si>
  <si>
    <t>Prestazioni per il risanamento interno delle condotte presso lo stabile ex latteria di Rivera</t>
  </si>
  <si>
    <t>Sana Canalizzazione SA, Strada Ponte di Valle 16, 6964 Davesco-Soragno</t>
  </si>
  <si>
    <t>Sostituzione condotta AP mappale 667 RDF Monteceneri/Medeglia Opere da idraulico</t>
  </si>
  <si>
    <t>FonRoc Sagl, Via alla Chiesa, 6950 Tesserete</t>
  </si>
  <si>
    <t>Sostituzione condotta AP mappale 667 RDF Monteceneri/Medeglia Opere da impresario costruttore</t>
  </si>
  <si>
    <t>Lifetech SA, Via Industria - Zona 4b, 6934 Bioggio</t>
  </si>
  <si>
    <t xml:space="preserve">Fornitura contenitori di raccolta RSU/Vetro SMART-Line </t>
  </si>
  <si>
    <t xml:space="preserve">Manutenzione straordinaria dell'impianto semaforico in Via Bironico presso il sottopasso ferroviario </t>
  </si>
  <si>
    <t>Kummler+Matter EVT AG, Via Cantonale 6, 6805 Mezzovico</t>
  </si>
  <si>
    <t xml:space="preserve">Sistemazione piazzale/parcheggio presso il Campo Sportivo  di Camignolo </t>
  </si>
  <si>
    <t>Milani Agostino SA, Zona Industriale 4, 6805 Mezzovico</t>
  </si>
  <si>
    <t>Gianni Ochsner Servizi Pubblici SA, Via Cantonale 2, 6814 Lamone</t>
  </si>
  <si>
    <t>Rinnovo piazzale cassonetti interrati RSU/Vetro, quartieri di Camignolo, Rivera e Sigirino</t>
  </si>
  <si>
    <t xml:space="preserve">Camponovo Impianti Sanitari SA, Via Roncaccio 9, 6802 Rivera </t>
  </si>
  <si>
    <t>Prestazioni da ingegnere civile per progetto +/- 10% sottopasso ciclopedonale in zona "Ciossa" a Sigirino</t>
  </si>
  <si>
    <t>Battaglia Ingegnera Sagl, Via Monostèi 53, 6702 Claro</t>
  </si>
  <si>
    <t>Walo Bertschinger SA Ticino, Via San Gottardo, 6807 Taverne</t>
  </si>
  <si>
    <t>Ampliamento caserma pompieri Rivera - Rivestimento pavimenti interni</t>
  </si>
  <si>
    <t>Sergio Alberti &amp; Arredo SA, Via Sceresa 6A, 6805 Mezzovico</t>
  </si>
  <si>
    <t>Pavicem SA, Via Vedeggio 1, 6928 Manno</t>
  </si>
  <si>
    <t>Fornitura di 5 decespugliatori e 5 soffiatori</t>
  </si>
  <si>
    <t>Ferramenta Dalu, Via Cantonale 60, 6805 Mezzovico</t>
  </si>
  <si>
    <t>Sostituzione delle parti danneggiate del portone del magazzino operai</t>
  </si>
  <si>
    <t>TecnoCity SA, Via C. Diener 1, 6850 Mendrisio</t>
  </si>
  <si>
    <t>6065 Consulenze Sagl, Via Aeroporto 7, 6982 Agno</t>
  </si>
  <si>
    <t>Opere da Giardiniere per la sistemazione e l'allestimento Rotonda Sigirino</t>
  </si>
  <si>
    <t>GS Giardini Sagl, Via Privata dei Noci 17, 6807 Taverne</t>
  </si>
  <si>
    <t>Potenziamento illuminazione pubblica nucleo Canedo, Medeglia</t>
  </si>
  <si>
    <t>Prestazioni per la progettazione esecutiva dell'ampliamento del posteggio pubblico di Soresina- Rivera</t>
  </si>
  <si>
    <t>Ezio Tarchini Ingegneria SA, Via Industria 1A, 6807 Taverne</t>
  </si>
  <si>
    <t>Poretti e Gaggini SA, Via al Fiume 1, 6930 Bedano</t>
  </si>
  <si>
    <t>Prestazioni da ingegnere civile</t>
  </si>
  <si>
    <t>Francesco Allievi SA, Viale Papio 5, 6612 Ascona</t>
  </si>
  <si>
    <t>Opere da lattoniere e impermeabilizzazione tetti piani- Centro diurno Rivera</t>
  </si>
  <si>
    <t>Abila SA, Via Vedeggio 7, 6807 Taverne</t>
  </si>
  <si>
    <t>Impianto fotovoltaico - Centro diurno Rivera</t>
  </si>
  <si>
    <t>Swiss Event &amp; TSM Sagl, Stradòn 33, 6558 Lostallo</t>
  </si>
  <si>
    <t>Prestazioni per finalizzare gli atti della variante di PR vuoto pianificato il corrispondenza dell'ex villaggio operai ARG</t>
  </si>
  <si>
    <t>Planidea SA, Via Lischedo 11, 6802 Rivera</t>
  </si>
  <si>
    <t>ITS Servizio Canalizzazione SA, Strada Regina 94, 6982 Agno</t>
  </si>
  <si>
    <t>Ampliamento caserma pompieri Rivera- Costruzione in acciaio e copertura tettoia</t>
  </si>
  <si>
    <t>Schenini SA, Via alla Stampa 23, 6965 Cadro</t>
  </si>
  <si>
    <t>Brugnoli e Gottardi SA, Via Pracco 5, 6900 Massagno</t>
  </si>
  <si>
    <t>Mecana AG, Industriestrasse 39, 8864 Reichenburg</t>
  </si>
  <si>
    <t>Ampliamento caserma pompieri Rivera - Rivestimento facciate</t>
  </si>
  <si>
    <t>CPR SA, Via Rampiga 1, 6917 Barbengo</t>
  </si>
  <si>
    <t>Ampliamento caserma pompieri Rivera - Opere da elettricista</t>
  </si>
  <si>
    <t>Equans Switzerland AG, Via Cantonale 43, 6802 Rivera</t>
  </si>
  <si>
    <t>Ampliamento caserma pompieri Rivera - Opere da impresario costruttore</t>
  </si>
  <si>
    <t>Ampliamento caserma pompieri  Rivera - Impermeabilizzazione tetto e opere da lattoniere</t>
  </si>
  <si>
    <t>Donada SA, Via Mulino, 6943 Vezia</t>
  </si>
  <si>
    <t>Carnovale Armando Sagl, Via Piantèd 6, 6805 Mezzovico</t>
  </si>
  <si>
    <t xml:space="preserve">Ampliamento caserma pompieri Rivera - Impianti sanitari e opere da idraulico </t>
  </si>
  <si>
    <t>TankRevisa SA, Via Cantonale 54, 6802 Rivera</t>
  </si>
  <si>
    <t>QuiriciH2OConsulenze Sagl, Via Monte Bar 46, 6958 Bidogno</t>
  </si>
  <si>
    <t>Servizio raccolta e smaltimento rifiuti riciclabili ecocentri comunali</t>
  </si>
  <si>
    <t>Prestazioni da idrogeologo zone di protezione del pozzo di captazione di Camignolo</t>
  </si>
  <si>
    <t>Leuchinger SA, Strada di Soragno 24h, 6964 Davesco-Soragno</t>
  </si>
  <si>
    <t>47/2025</t>
  </si>
  <si>
    <t>Prestazioni di servizio</t>
  </si>
  <si>
    <t>Manutenzione impianto di depurazione Medeglia</t>
  </si>
  <si>
    <t>48/2025</t>
  </si>
  <si>
    <t>Progettazione esecutiva nuova strada di collegamento a Camignolo</t>
  </si>
  <si>
    <t>66/2025</t>
  </si>
  <si>
    <t>Prestazioni di pulizia e vuotatura delle caditoie stradali e manufatti di smaltimento delle acque</t>
  </si>
  <si>
    <t>Progettazione definitiva risanamento infrastrutture e pavimentazione via Nadelli Bironico</t>
  </si>
  <si>
    <t>119/2025</t>
  </si>
  <si>
    <t>88/2025</t>
  </si>
  <si>
    <t>149/2025</t>
  </si>
  <si>
    <t>150/2025</t>
  </si>
  <si>
    <t>Riparazione biorullo presso l'impianto di depurazione</t>
  </si>
  <si>
    <t>169/2025</t>
  </si>
  <si>
    <t>178/2025</t>
  </si>
  <si>
    <t>182/2025</t>
  </si>
  <si>
    <t>Opere di sistemazione del sentiero "Rövia" a Sigirino</t>
  </si>
  <si>
    <t>Pervangher, Strada di Valle 10, 6780 Airolo</t>
  </si>
  <si>
    <t>185/2025</t>
  </si>
  <si>
    <t>Acquisto materiale per punti di raccolta d'urgenza</t>
  </si>
  <si>
    <t>200/2025</t>
  </si>
  <si>
    <t>Progetto definitivo sistemazione via della Crotta Medeglia</t>
  </si>
  <si>
    <t>202/2025</t>
  </si>
  <si>
    <t>225/2025</t>
  </si>
  <si>
    <t>226/2025</t>
  </si>
  <si>
    <t>227/2025</t>
  </si>
  <si>
    <t>229/2025</t>
  </si>
  <si>
    <t xml:space="preserve">Manutenzione cassonetti interrati RSU/Vetro </t>
  </si>
  <si>
    <t>251/2025</t>
  </si>
  <si>
    <t>art.7 cpv. 2 LCPubb</t>
  </si>
  <si>
    <t>252/2025</t>
  </si>
  <si>
    <t>Manutenzione degli acquedotti del Comune di Monteceneri, periodo 2025-2026</t>
  </si>
  <si>
    <t>253/2025</t>
  </si>
  <si>
    <t>254/2025</t>
  </si>
  <si>
    <t>277/2025</t>
  </si>
  <si>
    <t>Fornitura e posa portone sezionale e parete metallica divisoria - ampliamento caserma pompieri</t>
  </si>
  <si>
    <t>295/2025</t>
  </si>
  <si>
    <t>296/2025</t>
  </si>
  <si>
    <t>297/2025</t>
  </si>
  <si>
    <t>Consulenza assicurativa</t>
  </si>
  <si>
    <t>Assidu SA, via Giovanni Maraini 19, 6963 Pregassona</t>
  </si>
  <si>
    <t>298/2025</t>
  </si>
  <si>
    <t>327/2025</t>
  </si>
  <si>
    <t>328/2025</t>
  </si>
  <si>
    <t>Commessa secondaria edile</t>
  </si>
  <si>
    <t>372/2025</t>
  </si>
  <si>
    <t>384/2025</t>
  </si>
  <si>
    <t>385/2025</t>
  </si>
  <si>
    <t>396/2025</t>
  </si>
  <si>
    <t>397/2025</t>
  </si>
  <si>
    <t>413/2025</t>
  </si>
  <si>
    <t>Sevizio Publibike</t>
  </si>
  <si>
    <t>PubliBike AG, rue de la Course 62, 2504 Bienne</t>
  </si>
  <si>
    <t>425/2025</t>
  </si>
  <si>
    <t>443/2025</t>
  </si>
  <si>
    <t>Oikos Consulenza e Ingegneria Ambientale Sagl, via Riale Righetti 20a, 6503 Bellinzona</t>
  </si>
  <si>
    <t>444/2025</t>
  </si>
  <si>
    <t>Fornitura e posa condizionatori ISUAV</t>
  </si>
  <si>
    <t>Colombo Clima Sagl, via ai Ronchi 41, 6802 Rivera</t>
  </si>
  <si>
    <t>445/2025</t>
  </si>
  <si>
    <t xml:space="preserve">Opere da capomastro ristrutturazione ex casa comunale </t>
  </si>
  <si>
    <t>CasaNova SA, via Industria 2, 6807 Taverne</t>
  </si>
  <si>
    <t>455/2025</t>
  </si>
  <si>
    <t xml:space="preserve">Opere da gessatore, pittore e isolazione ristrutturazione ex casa comunale </t>
  </si>
  <si>
    <t>Armando Carnovale Sagl, via Cantonale, 6805 Mezzovico</t>
  </si>
  <si>
    <t xml:space="preserve">Impianti RVCS ristrutturazione ex casa comunale </t>
  </si>
  <si>
    <t xml:space="preserve">Impianto elettrico ristrutturazione ex casa comunale </t>
  </si>
  <si>
    <t>Electrasim SA, via Berna 2, 6900 Lugano</t>
  </si>
  <si>
    <t xml:space="preserve">Carpentiere e lattoniere ristrutturazione ex casa comunale </t>
  </si>
  <si>
    <t>Laube SA, via Traversa 2, 6710 Biasca</t>
  </si>
  <si>
    <t>457/2025</t>
  </si>
  <si>
    <t>Ponteggi per ristrutturazione ex casa comunale</t>
  </si>
  <si>
    <t>Tipo Ponteggi Sagl, via Lunghi, 6802 Rivera</t>
  </si>
  <si>
    <t>458/2025</t>
  </si>
  <si>
    <t>Sostituzione cavi di alimentazione fari presso Centro sportivo Quadrifoglio</t>
  </si>
  <si>
    <t>460/2025</t>
  </si>
  <si>
    <t>Progettazione esecutiva risanamento infrastrutture e pavimentazione via Nadelli</t>
  </si>
  <si>
    <t>487/2025</t>
  </si>
  <si>
    <t>Fornitura mobili aule scuole elementari</t>
  </si>
  <si>
    <t>475/2025</t>
  </si>
  <si>
    <t>2/2025</t>
  </si>
  <si>
    <t>22/2025</t>
  </si>
  <si>
    <t>32/2025</t>
  </si>
  <si>
    <t>Progetto 3000 SA, via La Stampa 9, 6965 Cadro</t>
  </si>
  <si>
    <t>49/2025</t>
  </si>
  <si>
    <t>74/2025</t>
  </si>
  <si>
    <t>86/2025</t>
  </si>
  <si>
    <t>151/2025</t>
  </si>
  <si>
    <t>184/2025</t>
  </si>
  <si>
    <t>67/2025</t>
  </si>
  <si>
    <t>Allestimento masterplan zona tempo libero</t>
  </si>
  <si>
    <t>441/2025</t>
  </si>
  <si>
    <t>Estensione incarico allestimento progetto preliminare valorizzazione strada cantonale Rivera</t>
  </si>
  <si>
    <t>486/2025</t>
  </si>
  <si>
    <t>Posa tavolo e prolungo staccionata di legno Castello S. Sofia Bironico</t>
  </si>
  <si>
    <t>502/2025</t>
  </si>
  <si>
    <t>Opere impresario costruttore potenziamento AP E IP via ai Ronchi Rivera</t>
  </si>
  <si>
    <t>503/2025</t>
  </si>
  <si>
    <t>Potenziamento illuminazione pubblica via ai Ronchi Rivera</t>
  </si>
  <si>
    <t>503./2025</t>
  </si>
  <si>
    <t>Fornitura e posa tapparelle caserma pompieri</t>
  </si>
  <si>
    <t>Alberti Sergio &amp; Arredo SA, via Sceresa 6a, 6805 Mezzovico</t>
  </si>
  <si>
    <t>505/2025</t>
  </si>
  <si>
    <t>Malattia collettiva perdita di salario</t>
  </si>
  <si>
    <t>OKK , Piazza Collegiata 9, 6500 Bellinzona</t>
  </si>
  <si>
    <t>515/2025</t>
  </si>
  <si>
    <t>Sistemazione viali cimiteri</t>
  </si>
  <si>
    <t>Pesciallo edilizia cimiteriale SA, via Riale Righetti 22, 6503 Bellinzona-Carasso</t>
  </si>
  <si>
    <t>524/2025</t>
  </si>
  <si>
    <t>Eliminazione difetti impianto elettrico scuola infanzia Camignolo</t>
  </si>
  <si>
    <t>525/2025</t>
  </si>
  <si>
    <t>Riparazione impianto fotovoltaico asilo Rivera</t>
  </si>
  <si>
    <t>Spinelli SA, via Giuseppe Motta 62, 6908 Massagno</t>
  </si>
  <si>
    <t>523/2025</t>
  </si>
  <si>
    <t>Sicurezza e sorveglianza cantiere</t>
  </si>
  <si>
    <t>558/2025</t>
  </si>
  <si>
    <t>Fornitura software Meserli edilizia</t>
  </si>
  <si>
    <t>Acquisto sacchi rifiuti</t>
  </si>
  <si>
    <t>Silicon Swiss Sagl, Contrada S. Marco 39, 6982 Agno</t>
  </si>
  <si>
    <t>584/2024</t>
  </si>
  <si>
    <t>585/2025</t>
  </si>
  <si>
    <t>Sostituzione serramenti autorimessa pompieri</t>
  </si>
  <si>
    <t>Opere di pavimentazione ampliamento posteggio pubblico</t>
  </si>
  <si>
    <t>Saisa SA, via al Ticino 11, 6703 Osogna</t>
  </si>
  <si>
    <t>619/2025</t>
  </si>
  <si>
    <t>Illuminazione pubblica ampliamento posteggio pubblico</t>
  </si>
  <si>
    <t>Stazione di ricarica auto elettrica</t>
  </si>
  <si>
    <t>Fornitura parchimetro</t>
  </si>
  <si>
    <t>Digitalparking AG, Rütistrasse 13</t>
  </si>
  <si>
    <t>Opere da impresario costruttore spostamento canalizzazione</t>
  </si>
  <si>
    <t>620/2025</t>
  </si>
  <si>
    <t>Opere da impresario costruttore spostamento condotta AP</t>
  </si>
  <si>
    <t>621/2025</t>
  </si>
  <si>
    <t>Opere da idraulico spostamento condotta AP</t>
  </si>
  <si>
    <t>622/2025</t>
  </si>
  <si>
    <t>623./2025</t>
  </si>
  <si>
    <t>Posa prese pali illuminazione pubblica per illuminazione natalizia</t>
  </si>
  <si>
    <t>FFS SA - Infrastruttura, disponibilità &amp; manutenzione, via Stazione 29, 6828 Balerna</t>
  </si>
  <si>
    <t>583/2025</t>
  </si>
  <si>
    <t>Coding 83 SA, via Prati Botta 22, 6917 Barbengo</t>
  </si>
  <si>
    <t>invito</t>
  </si>
  <si>
    <t>art.7 cpv.2 LCPubb</t>
  </si>
  <si>
    <t>Invito</t>
  </si>
  <si>
    <t>Tecnocopia Sagl, via Cantonale 41, 6814 Lamone</t>
  </si>
  <si>
    <t>Opere da impresario costruttore potenziamento AP</t>
  </si>
  <si>
    <t>Opere da idraulico potenziamento AP</t>
  </si>
  <si>
    <t>Tech-Insta SA, via Industria 10, 6807 Torricella-Taverne</t>
  </si>
  <si>
    <t>674/2025</t>
  </si>
  <si>
    <t>654/2025</t>
  </si>
  <si>
    <t xml:space="preserve">Controllo combustione 22° ciclo </t>
  </si>
  <si>
    <t>Ecofiamma Sagl, via alla Torri 3, 6503 Bellinzona</t>
  </si>
  <si>
    <t>691/2025</t>
  </si>
  <si>
    <t>Opere da idraulico condotta AP</t>
  </si>
  <si>
    <t>692/2025</t>
  </si>
  <si>
    <t>Opere da impresario costruttore condotta AP</t>
  </si>
  <si>
    <t>New Power Solutions SA</t>
  </si>
  <si>
    <t>705/2025</t>
  </si>
  <si>
    <t>Fotovoltaico ex casa comunale Camignolo</t>
  </si>
  <si>
    <t>Serramenti ex casa comunale Camignolo</t>
  </si>
  <si>
    <t>Egokiefer SA, via ai Gelsi 15, 6930 Bedano</t>
  </si>
  <si>
    <t>Porte esterne ex casa comunale Camignolo</t>
  </si>
  <si>
    <t>Vistec SA, via Cantonale 130, 6804 Bironico</t>
  </si>
  <si>
    <t>Elementi frangisole ex casa comunale Camignolo</t>
  </si>
  <si>
    <t>Schenker SA, via ai Ronchi 25, 6802 Rivera</t>
  </si>
  <si>
    <t>Cucine ex casa comunale Camignolo</t>
  </si>
  <si>
    <t>Sanitas Troesch SA, via Vedeggio 3, 6814 Lamone</t>
  </si>
  <si>
    <t>Arredo fisso ex casa comunale Camignolo</t>
  </si>
  <si>
    <t>Saimu SA, via al Mulino 22, 6814 Cadempino</t>
  </si>
  <si>
    <t>Progettazione esecutiva progetto realizzazione posteggi pubblici</t>
  </si>
  <si>
    <t>Vescovi Ingegneria &amp; Consulenze, Strada Regina 48, 6982 Agno</t>
  </si>
  <si>
    <t>Illuminazione natalizia</t>
  </si>
  <si>
    <t>Claudio Merlo SA, via Industria 1, Zona Industriale 4, 6807 Taverne</t>
  </si>
  <si>
    <t>707/2025</t>
  </si>
  <si>
    <t>706/2025</t>
  </si>
  <si>
    <t xml:space="preserve">Acquisto trattore </t>
  </si>
  <si>
    <t>S. Morisoli &amp; Figli SA, El Stradún 33, 6513 Monte Carasso</t>
  </si>
  <si>
    <t>708/2025</t>
  </si>
  <si>
    <t>Bulloni Costruzioni Sagl, Via alle Stalle, 6810 Isone</t>
  </si>
  <si>
    <t>709/2025</t>
  </si>
  <si>
    <t>730/2025</t>
  </si>
  <si>
    <t>Opere da idraulico nuova valvola di spurgo rete idrica</t>
  </si>
  <si>
    <t>731/2025</t>
  </si>
  <si>
    <t>Posa e fornitura gioco polifunzionale preasilo</t>
  </si>
  <si>
    <t>Fratelli Albertolli SA, via Ciossa 1, 6806 Taverne</t>
  </si>
  <si>
    <t>732/2025</t>
  </si>
  <si>
    <t>Organizzazione aperitivo scambio di auguri</t>
  </si>
  <si>
    <t>734/2025</t>
  </si>
  <si>
    <t>Lavagna con schermo interattivo per SE</t>
  </si>
  <si>
    <t>735/2025</t>
  </si>
  <si>
    <t>Progettazione definitiva e direzione lavori interventi selvicolturali bosco di protezione</t>
  </si>
  <si>
    <t>736/2025</t>
  </si>
  <si>
    <t>Opere di sostituzione del manto impermeabile soletta stabile Pci</t>
  </si>
  <si>
    <t>760/2025</t>
  </si>
  <si>
    <t>Progetto di massima moderazione traffico</t>
  </si>
  <si>
    <t>Studio d'ingegneria Francesco Allievi SA, via Bartolomeo Papio 5, 6612 Ascona</t>
  </si>
  <si>
    <t>830/2025</t>
  </si>
  <si>
    <t>Riparazione veicolo multifunzionale</t>
  </si>
  <si>
    <t>Zimmermann AG, Plong Muling 32, 7013 Domat/Ems</t>
  </si>
  <si>
    <t>831/2025</t>
  </si>
  <si>
    <t>Fornitura e posa nuovo gioco parco giochi</t>
  </si>
  <si>
    <t>832/2025</t>
  </si>
  <si>
    <t>Pasteris TeamWork Architetti Sagl, via S. Gottardo 14, 6500 Bellinzona</t>
  </si>
  <si>
    <t>817/2025</t>
  </si>
  <si>
    <t>Progettazione di massima progetto Centro civico e culturale casa dei Landfogti</t>
  </si>
  <si>
    <t>Prestazioni per coordinamento progetto Centro civico e culturale casa dei Landfogti</t>
  </si>
  <si>
    <t>WDMRA, via G. Branca Masa 9, 6578 Caviano</t>
  </si>
  <si>
    <t>Bonalumi Engineering SA, via Balestra 1a, 6600 Locarno</t>
  </si>
  <si>
    <t>Afry Svizzera SA, via C. Pellandini 3, 6500 Bellinzona</t>
  </si>
  <si>
    <t>Fornitura sedie e carrello per il trasporto</t>
  </si>
  <si>
    <t>Potenziamento illuminazione pubblica via Vignascia Rivera</t>
  </si>
  <si>
    <t>Opere di pavimentazione esterna caserma pompieri</t>
  </si>
  <si>
    <t>Fornitura stampanti</t>
  </si>
  <si>
    <t>Opere da impresario costruttore sistemazione sentiero</t>
  </si>
  <si>
    <t>Opere di potenziamento e adeguamento illuminazione pubblica</t>
  </si>
  <si>
    <t>RistoraGrüpp, Monteceneri</t>
  </si>
  <si>
    <t>Progetto di massima Centro civico e culturale casa dei Landfogti</t>
  </si>
  <si>
    <t>Realizzazione del sistema gestione qualità secondo i principi della direttiva SSIGA W12 edizione 2023, per il Servizio approvvigionamento idrico comunale</t>
  </si>
  <si>
    <t>Ampliamento caserma pompieri Rivera - Opere da gessatore/pittore</t>
  </si>
  <si>
    <t>Fornitura e posa nuovi serramenti alluminio ampliamento caserma pompieri</t>
  </si>
  <si>
    <t>Ampliamento caserma pompieri Rivera - Fornitura e posa betoncini e sottofondi cementizi</t>
  </si>
  <si>
    <t>Manutenzione ordinaria delle strade del Comune di Monteceneri, periodo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</si>
</sst>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\.mm\.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8.0500000000000007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2" borderId="2" xfId="0" applyNumberForma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3" fontId="0" fillId="0" borderId="0" xfId="1" applyFont="1" applyFill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10" fillId="0" borderId="0" xfId="0" applyFont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6" fillId="0" borderId="3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600075</xdr:colOff>
          <xdr:row>1</xdr:row>
          <xdr:rowOff>66675</xdr:rowOff>
        </xdr:from>
        <xdr:to>
          <xdr:col>5</xdr:col>
          <xdr:colOff>1476375</xdr:colOff>
          <xdr:row>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1"/>
  <sheetViews>
    <sheetView tabSelected="1" zoomScale="86" zoomScaleNormal="120" workbookViewId="0">
      <pane xSplit="7" ySplit="11" topLeftCell="I41" activePane="bottomRight" state="frozen"/>
      <selection pane="topRight" activeCell="H1" sqref="H1"/>
      <selection pane="bottomLeft" activeCell="A14" sqref="A14"/>
      <selection pane="bottomRight" activeCell="D46" sqref="D46"/>
    </sheetView>
  </sheetViews>
  <sheetFormatPr defaultRowHeight="15" x14ac:dyDescent="0.25"/>
  <cols>
    <col min="1" max="1" width="21" customWidth="1"/>
    <col min="2" max="2" width="23.5703125" customWidth="1"/>
    <col min="3" max="4" width="23.140625" customWidth="1"/>
    <col min="5" max="5" width="48.7109375" bestFit="1" customWidth="1"/>
    <col min="6" max="6" width="30" bestFit="1" customWidth="1"/>
    <col min="7" max="7" width="17" customWidth="1"/>
    <col min="8" max="8" width="24.85546875" hidden="1" customWidth="1"/>
    <col min="9" max="9" width="11.28515625" customWidth="1"/>
    <col min="10" max="10" width="15.28515625" customWidth="1"/>
  </cols>
  <sheetData>
    <row r="1" spans="1:10" ht="15.75" x14ac:dyDescent="0.25">
      <c r="F1" s="18"/>
      <c r="I1" s="18"/>
    </row>
    <row r="2" spans="1:10" x14ac:dyDescent="0.25">
      <c r="F2" s="1"/>
      <c r="I2" s="1"/>
    </row>
    <row r="3" spans="1:10" ht="23.25" x14ac:dyDescent="0.25">
      <c r="E3" s="2" t="s">
        <v>0</v>
      </c>
      <c r="F3" s="1"/>
      <c r="I3" s="1"/>
    </row>
    <row r="4" spans="1:10" x14ac:dyDescent="0.25">
      <c r="F4" s="1"/>
      <c r="I4" s="1"/>
    </row>
    <row r="5" spans="1:10" x14ac:dyDescent="0.25">
      <c r="A5" s="3"/>
      <c r="B5" s="3"/>
      <c r="C5" s="3"/>
      <c r="D5" s="3"/>
      <c r="E5" s="3"/>
      <c r="F5" s="3"/>
      <c r="G5" s="35"/>
      <c r="I5" s="3"/>
    </row>
    <row r="6" spans="1:10" x14ac:dyDescent="0.25">
      <c r="A6" s="1"/>
      <c r="B6" s="1"/>
      <c r="C6" s="1"/>
      <c r="D6" s="1"/>
      <c r="E6" s="1"/>
      <c r="F6" s="1"/>
      <c r="I6" s="1"/>
    </row>
    <row r="7" spans="1:10" x14ac:dyDescent="0.25">
      <c r="F7" s="19"/>
      <c r="G7" s="36"/>
      <c r="I7" s="19"/>
    </row>
    <row r="8" spans="1:10" ht="15.75" x14ac:dyDescent="0.25">
      <c r="A8" s="4" t="s">
        <v>16</v>
      </c>
      <c r="B8" s="4"/>
      <c r="C8" s="4"/>
      <c r="D8" s="4"/>
      <c r="E8" s="4"/>
      <c r="F8" s="20"/>
      <c r="G8" s="4"/>
      <c r="I8" s="20"/>
    </row>
    <row r="9" spans="1:10" x14ac:dyDescent="0.25">
      <c r="A9" s="5" t="s">
        <v>1</v>
      </c>
      <c r="B9" s="5"/>
      <c r="C9" s="5"/>
      <c r="D9" s="5"/>
      <c r="E9" s="5"/>
      <c r="F9" s="21"/>
      <c r="G9" s="5"/>
      <c r="I9" s="21"/>
    </row>
    <row r="10" spans="1:10" ht="14.25" customHeight="1" x14ac:dyDescent="0.25">
      <c r="A10" s="7"/>
      <c r="B10" s="6"/>
      <c r="C10" s="6"/>
      <c r="D10" s="6"/>
      <c r="E10" s="6"/>
      <c r="F10" s="6"/>
      <c r="G10" s="22"/>
      <c r="H10" s="8" t="s">
        <v>7</v>
      </c>
      <c r="I10" s="6"/>
    </row>
    <row r="11" spans="1:10" ht="30" x14ac:dyDescent="0.25">
      <c r="A11" s="9" t="s">
        <v>2</v>
      </c>
      <c r="B11" s="10" t="s">
        <v>3</v>
      </c>
      <c r="C11" s="10" t="s">
        <v>4</v>
      </c>
      <c r="D11" s="10"/>
      <c r="E11" s="10" t="s">
        <v>5</v>
      </c>
      <c r="F11" s="10" t="s">
        <v>6</v>
      </c>
      <c r="G11" s="10" t="s">
        <v>9</v>
      </c>
      <c r="H11" s="11" t="s">
        <v>8</v>
      </c>
      <c r="I11" s="10" t="s">
        <v>17</v>
      </c>
    </row>
    <row r="12" spans="1:10" ht="45" x14ac:dyDescent="0.25">
      <c r="A12" s="17">
        <v>45670</v>
      </c>
      <c r="B12" s="14" t="s">
        <v>108</v>
      </c>
      <c r="C12" s="14" t="s">
        <v>13</v>
      </c>
      <c r="D12" s="14" t="s">
        <v>11</v>
      </c>
      <c r="E12" s="13" t="s">
        <v>104</v>
      </c>
      <c r="F12" s="13" t="s">
        <v>60</v>
      </c>
      <c r="G12" s="12">
        <f>96000/1.081</f>
        <v>88806.660499537466</v>
      </c>
      <c r="I12" s="13" t="s">
        <v>187</v>
      </c>
    </row>
    <row r="13" spans="1:10" ht="45" x14ac:dyDescent="0.25">
      <c r="A13" s="17">
        <v>45677</v>
      </c>
      <c r="B13" s="14" t="s">
        <v>108</v>
      </c>
      <c r="C13" s="14" t="s">
        <v>13</v>
      </c>
      <c r="D13" s="14" t="s">
        <v>11</v>
      </c>
      <c r="E13" s="13" t="s">
        <v>323</v>
      </c>
      <c r="F13" s="13" t="s">
        <v>103</v>
      </c>
      <c r="G13" s="12">
        <f>47000</f>
        <v>47000</v>
      </c>
      <c r="I13" s="13" t="s">
        <v>188</v>
      </c>
    </row>
    <row r="14" spans="1:10" ht="30" x14ac:dyDescent="0.25">
      <c r="A14" s="17">
        <v>45677</v>
      </c>
      <c r="B14" s="14" t="s">
        <v>26</v>
      </c>
      <c r="C14" s="14" t="s">
        <v>13</v>
      </c>
      <c r="D14" s="14" t="s">
        <v>11</v>
      </c>
      <c r="E14" s="13" t="s">
        <v>324</v>
      </c>
      <c r="F14" s="13" t="s">
        <v>100</v>
      </c>
      <c r="G14" s="12">
        <f>20626.29/1.081</f>
        <v>19080.749306197966</v>
      </c>
      <c r="I14" s="13" t="s">
        <v>189</v>
      </c>
      <c r="J14" s="38"/>
    </row>
    <row r="15" spans="1:10" ht="30" x14ac:dyDescent="0.25">
      <c r="A15" s="17">
        <v>45677</v>
      </c>
      <c r="B15" s="14" t="s">
        <v>26</v>
      </c>
      <c r="C15" s="14" t="s">
        <v>13</v>
      </c>
      <c r="D15" s="14" t="s">
        <v>11</v>
      </c>
      <c r="E15" s="13" t="s">
        <v>95</v>
      </c>
      <c r="F15" s="13" t="s">
        <v>96</v>
      </c>
      <c r="G15" s="12">
        <f>28736.3/1.081</f>
        <v>26583.071230342277</v>
      </c>
      <c r="I15" s="13" t="s">
        <v>189</v>
      </c>
      <c r="J15" s="38"/>
    </row>
    <row r="16" spans="1:10" ht="30" x14ac:dyDescent="0.25">
      <c r="A16" s="17">
        <v>45677</v>
      </c>
      <c r="B16" s="14" t="s">
        <v>26</v>
      </c>
      <c r="C16" s="14" t="s">
        <v>13</v>
      </c>
      <c r="D16" s="14" t="s">
        <v>11</v>
      </c>
      <c r="E16" s="13" t="s">
        <v>98</v>
      </c>
      <c r="F16" s="13" t="s">
        <v>99</v>
      </c>
      <c r="G16" s="12">
        <f>26708.9/1.081</f>
        <v>24707.585568917671</v>
      </c>
      <c r="I16" s="13" t="s">
        <v>189</v>
      </c>
      <c r="J16" s="38"/>
    </row>
    <row r="17" spans="1:10" ht="30" x14ac:dyDescent="0.25">
      <c r="A17" s="17">
        <v>45677</v>
      </c>
      <c r="B17" s="14" t="s">
        <v>26</v>
      </c>
      <c r="C17" s="14" t="s">
        <v>13</v>
      </c>
      <c r="D17" s="14" t="s">
        <v>11</v>
      </c>
      <c r="E17" s="13" t="s">
        <v>93</v>
      </c>
      <c r="F17" s="13" t="s">
        <v>94</v>
      </c>
      <c r="G17" s="12">
        <f>70654.7/1.081</f>
        <v>65360.499537465308</v>
      </c>
      <c r="I17" s="13" t="s">
        <v>189</v>
      </c>
      <c r="J17" s="38"/>
    </row>
    <row r="18" spans="1:10" ht="30" x14ac:dyDescent="0.25">
      <c r="A18" s="17">
        <v>45677</v>
      </c>
      <c r="B18" s="14" t="s">
        <v>31</v>
      </c>
      <c r="C18" s="14" t="s">
        <v>13</v>
      </c>
      <c r="D18" s="14" t="s">
        <v>11</v>
      </c>
      <c r="E18" s="13" t="s">
        <v>97</v>
      </c>
      <c r="F18" s="13" t="s">
        <v>22</v>
      </c>
      <c r="G18" s="12">
        <f>208486.52/1.081</f>
        <v>192864.49583718777</v>
      </c>
      <c r="I18" s="13" t="s">
        <v>189</v>
      </c>
      <c r="J18" s="38"/>
    </row>
    <row r="19" spans="1:10" ht="30" x14ac:dyDescent="0.25">
      <c r="A19" s="17">
        <v>45677</v>
      </c>
      <c r="B19" s="14" t="s">
        <v>26</v>
      </c>
      <c r="C19" s="14" t="s">
        <v>13</v>
      </c>
      <c r="D19" s="14" t="s">
        <v>11</v>
      </c>
      <c r="E19" s="13" t="s">
        <v>101</v>
      </c>
      <c r="F19" s="13" t="s">
        <v>102</v>
      </c>
      <c r="G19" s="12">
        <f>64759.8/1.081</f>
        <v>59907.308048103616</v>
      </c>
      <c r="I19" s="13" t="s">
        <v>189</v>
      </c>
      <c r="J19" s="38"/>
    </row>
    <row r="20" spans="1:10" ht="45" x14ac:dyDescent="0.25">
      <c r="A20" s="17">
        <v>45684</v>
      </c>
      <c r="B20" s="14" t="s">
        <v>108</v>
      </c>
      <c r="C20" s="14" t="s">
        <v>12</v>
      </c>
      <c r="D20" s="14" t="s">
        <v>11</v>
      </c>
      <c r="E20" s="13" t="s">
        <v>105</v>
      </c>
      <c r="F20" s="13" t="s">
        <v>106</v>
      </c>
      <c r="G20" s="12">
        <f>56756.8/1.081</f>
        <v>52503.977798334883</v>
      </c>
      <c r="H20" s="16"/>
      <c r="I20" s="13" t="s">
        <v>107</v>
      </c>
      <c r="J20" s="38"/>
    </row>
    <row r="21" spans="1:10" ht="30" x14ac:dyDescent="0.25">
      <c r="A21" s="17">
        <v>45684</v>
      </c>
      <c r="B21" s="14" t="s">
        <v>26</v>
      </c>
      <c r="C21" s="14" t="s">
        <v>13</v>
      </c>
      <c r="D21" s="14" t="s">
        <v>11</v>
      </c>
      <c r="E21" s="13" t="s">
        <v>109</v>
      </c>
      <c r="F21" s="13" t="s">
        <v>92</v>
      </c>
      <c r="G21" s="12">
        <f>6349.95/1.081</f>
        <v>5874.1443108233116</v>
      </c>
      <c r="H21" s="16"/>
      <c r="I21" s="13" t="s">
        <v>110</v>
      </c>
    </row>
    <row r="22" spans="1:10" ht="30" x14ac:dyDescent="0.25">
      <c r="A22" s="17">
        <v>45684</v>
      </c>
      <c r="B22" s="14" t="s">
        <v>26</v>
      </c>
      <c r="C22" s="14" t="s">
        <v>13</v>
      </c>
      <c r="D22" s="14" t="s">
        <v>11</v>
      </c>
      <c r="E22" s="13" t="s">
        <v>325</v>
      </c>
      <c r="F22" s="13" t="s">
        <v>190</v>
      </c>
      <c r="G22" s="12">
        <f>24065/1.081</f>
        <v>22261.794634597594</v>
      </c>
      <c r="H22" s="16"/>
      <c r="I22" s="13" t="s">
        <v>191</v>
      </c>
      <c r="J22" s="38"/>
    </row>
    <row r="23" spans="1:10" ht="30" x14ac:dyDescent="0.25">
      <c r="A23" s="17">
        <v>45691</v>
      </c>
      <c r="B23" s="14" t="s">
        <v>108</v>
      </c>
      <c r="C23" s="14" t="s">
        <v>13</v>
      </c>
      <c r="D23" s="14" t="s">
        <v>11</v>
      </c>
      <c r="E23" s="13" t="s">
        <v>111</v>
      </c>
      <c r="F23" s="13" t="s">
        <v>91</v>
      </c>
      <c r="G23" s="12">
        <f>45000/1.081</f>
        <v>41628.12210915819</v>
      </c>
      <c r="H23" s="16"/>
      <c r="I23" s="13" t="s">
        <v>112</v>
      </c>
      <c r="J23" s="38"/>
    </row>
    <row r="24" spans="1:10" ht="30" x14ac:dyDescent="0.25">
      <c r="A24" s="31">
        <v>45691</v>
      </c>
      <c r="B24" s="32" t="s">
        <v>26</v>
      </c>
      <c r="C24" s="32" t="s">
        <v>13</v>
      </c>
      <c r="D24" s="32" t="s">
        <v>11</v>
      </c>
      <c r="E24" s="33" t="s">
        <v>71</v>
      </c>
      <c r="F24" s="33" t="s">
        <v>72</v>
      </c>
      <c r="G24" s="37">
        <f>6842.75/1.081</f>
        <v>6330.0185013876044</v>
      </c>
      <c r="I24" s="33" t="s">
        <v>196</v>
      </c>
    </row>
    <row r="25" spans="1:10" ht="30" x14ac:dyDescent="0.25">
      <c r="A25" s="17">
        <v>45691</v>
      </c>
      <c r="B25" s="14" t="s">
        <v>26</v>
      </c>
      <c r="C25" s="14" t="s">
        <v>13</v>
      </c>
      <c r="D25" s="14" t="s">
        <v>11</v>
      </c>
      <c r="E25" s="13" t="s">
        <v>89</v>
      </c>
      <c r="F25" s="13" t="s">
        <v>90</v>
      </c>
      <c r="G25" s="12">
        <f>90469.78/1.081</f>
        <v>83690.823311748376</v>
      </c>
      <c r="I25" s="13" t="s">
        <v>192</v>
      </c>
      <c r="J25" s="38"/>
    </row>
    <row r="26" spans="1:10" ht="45" x14ac:dyDescent="0.25">
      <c r="A26" s="17">
        <v>45698</v>
      </c>
      <c r="B26" s="14" t="s">
        <v>108</v>
      </c>
      <c r="C26" s="14" t="s">
        <v>13</v>
      </c>
      <c r="D26" s="14" t="s">
        <v>11</v>
      </c>
      <c r="E26" s="13" t="s">
        <v>86</v>
      </c>
      <c r="F26" s="13" t="s">
        <v>87</v>
      </c>
      <c r="G26" s="12">
        <f>5513.1/1.081</f>
        <v>5100.0000000000009</v>
      </c>
      <c r="I26" s="13" t="s">
        <v>193</v>
      </c>
    </row>
    <row r="27" spans="1:10" ht="30" x14ac:dyDescent="0.25">
      <c r="A27" s="17">
        <v>45698</v>
      </c>
      <c r="B27" s="14" t="s">
        <v>26</v>
      </c>
      <c r="C27" s="14" t="s">
        <v>13</v>
      </c>
      <c r="D27" s="14" t="s">
        <v>11</v>
      </c>
      <c r="E27" s="13" t="s">
        <v>113</v>
      </c>
      <c r="F27" s="13" t="s">
        <v>88</v>
      </c>
      <c r="G27" s="12">
        <f>86892.9/1.081</f>
        <v>80381.961147086025</v>
      </c>
      <c r="I27" s="13" t="s">
        <v>116</v>
      </c>
    </row>
    <row r="28" spans="1:10" ht="30" x14ac:dyDescent="0.25">
      <c r="A28" s="17">
        <v>45712</v>
      </c>
      <c r="B28" s="14" t="s">
        <v>108</v>
      </c>
      <c r="C28" s="14" t="s">
        <v>13</v>
      </c>
      <c r="D28" s="14" t="s">
        <v>11</v>
      </c>
      <c r="E28" s="13" t="s">
        <v>114</v>
      </c>
      <c r="F28" s="13" t="s">
        <v>73</v>
      </c>
      <c r="G28" s="12">
        <f>18705.65/1.081</f>
        <v>17304.024051803888</v>
      </c>
      <c r="I28" s="13" t="s">
        <v>115</v>
      </c>
    </row>
    <row r="29" spans="1:10" ht="30" x14ac:dyDescent="0.25">
      <c r="A29" s="17">
        <v>45726</v>
      </c>
      <c r="B29" s="14" t="s">
        <v>26</v>
      </c>
      <c r="C29" s="14" t="s">
        <v>13</v>
      </c>
      <c r="D29" s="14" t="s">
        <v>11</v>
      </c>
      <c r="E29" s="13" t="s">
        <v>82</v>
      </c>
      <c r="F29" s="13" t="s">
        <v>83</v>
      </c>
      <c r="G29" s="12">
        <f>58100.51/1.081</f>
        <v>53747.002775208144</v>
      </c>
      <c r="I29" s="13" t="s">
        <v>117</v>
      </c>
      <c r="J29" s="38"/>
    </row>
    <row r="30" spans="1:10" ht="30" x14ac:dyDescent="0.25">
      <c r="A30" s="17">
        <v>45726</v>
      </c>
      <c r="B30" s="14" t="s">
        <v>26</v>
      </c>
      <c r="C30" s="14" t="s">
        <v>13</v>
      </c>
      <c r="D30" s="14" t="s">
        <v>11</v>
      </c>
      <c r="E30" s="13" t="s">
        <v>84</v>
      </c>
      <c r="F30" s="13" t="s">
        <v>85</v>
      </c>
      <c r="G30" s="12">
        <f>66647.4/1.081</f>
        <v>61653.469010175759</v>
      </c>
      <c r="I30" s="13" t="s">
        <v>118</v>
      </c>
      <c r="J30" s="38"/>
    </row>
    <row r="31" spans="1:10" ht="30" x14ac:dyDescent="0.25">
      <c r="A31" s="17">
        <v>45726</v>
      </c>
      <c r="B31" s="14" t="s">
        <v>24</v>
      </c>
      <c r="C31" s="14" t="s">
        <v>13</v>
      </c>
      <c r="D31" s="14" t="s">
        <v>11</v>
      </c>
      <c r="E31" s="13" t="s">
        <v>80</v>
      </c>
      <c r="F31" s="13" t="s">
        <v>81</v>
      </c>
      <c r="G31" s="12">
        <f>6730/1.081</f>
        <v>6225.7169287696579</v>
      </c>
      <c r="I31" s="13" t="s">
        <v>194</v>
      </c>
      <c r="J31" s="38"/>
    </row>
    <row r="32" spans="1:10" ht="30" x14ac:dyDescent="0.25">
      <c r="A32" s="17">
        <v>45733</v>
      </c>
      <c r="B32" s="14" t="s">
        <v>26</v>
      </c>
      <c r="C32" s="14" t="s">
        <v>13</v>
      </c>
      <c r="D32" s="14" t="s">
        <v>11</v>
      </c>
      <c r="E32" s="13" t="s">
        <v>119</v>
      </c>
      <c r="F32" s="13" t="s">
        <v>79</v>
      </c>
      <c r="G32" s="12">
        <f>30268/1.081</f>
        <v>28000</v>
      </c>
      <c r="I32" s="13" t="s">
        <v>120</v>
      </c>
    </row>
    <row r="33" spans="1:10" ht="30" x14ac:dyDescent="0.25">
      <c r="A33" s="17">
        <v>45740</v>
      </c>
      <c r="B33" s="14" t="s">
        <v>26</v>
      </c>
      <c r="C33" s="14" t="s">
        <v>13</v>
      </c>
      <c r="D33" s="14" t="s">
        <v>11</v>
      </c>
      <c r="E33" s="13" t="s">
        <v>74</v>
      </c>
      <c r="F33" s="13" t="s">
        <v>75</v>
      </c>
      <c r="G33" s="12">
        <f>9211.2/1.081</f>
        <v>8520.9990749306216</v>
      </c>
      <c r="I33" s="13" t="s">
        <v>121</v>
      </c>
    </row>
    <row r="34" spans="1:10" ht="45" x14ac:dyDescent="0.25">
      <c r="A34" s="23">
        <v>45740</v>
      </c>
      <c r="B34" s="14" t="s">
        <v>108</v>
      </c>
      <c r="C34" s="14" t="s">
        <v>13</v>
      </c>
      <c r="D34" s="14" t="s">
        <v>11</v>
      </c>
      <c r="E34" s="13" t="s">
        <v>77</v>
      </c>
      <c r="F34" s="13" t="s">
        <v>78</v>
      </c>
      <c r="G34" s="12">
        <f>27510.85/1.081</f>
        <v>25449.444958371878</v>
      </c>
      <c r="I34" s="13" t="s">
        <v>122</v>
      </c>
    </row>
    <row r="35" spans="1:10" ht="30" x14ac:dyDescent="0.25">
      <c r="A35" s="17">
        <v>45740</v>
      </c>
      <c r="B35" s="14" t="s">
        <v>26</v>
      </c>
      <c r="C35" s="14" t="s">
        <v>12</v>
      </c>
      <c r="D35" s="14" t="s">
        <v>11</v>
      </c>
      <c r="E35" s="13" t="s">
        <v>19</v>
      </c>
      <c r="F35" s="13" t="s">
        <v>20</v>
      </c>
      <c r="G35" s="12">
        <f>7440.5/1.081</f>
        <v>6882.978723404256</v>
      </c>
      <c r="H35" s="16"/>
      <c r="I35" s="13" t="s">
        <v>18</v>
      </c>
    </row>
    <row r="36" spans="1:10" ht="30" x14ac:dyDescent="0.25">
      <c r="A36" s="17">
        <v>45740</v>
      </c>
      <c r="B36" s="14" t="s">
        <v>31</v>
      </c>
      <c r="C36" s="14" t="s">
        <v>13</v>
      </c>
      <c r="D36" s="14" t="s">
        <v>11</v>
      </c>
      <c r="E36" s="13" t="s">
        <v>21</v>
      </c>
      <c r="F36" s="13" t="s">
        <v>22</v>
      </c>
      <c r="G36" s="12">
        <f>7245.6/1.081</f>
        <v>6702.6827012025906</v>
      </c>
      <c r="H36" s="16"/>
      <c r="I36" s="13" t="s">
        <v>18</v>
      </c>
      <c r="J36" s="15"/>
    </row>
    <row r="37" spans="1:10" ht="30" x14ac:dyDescent="0.25">
      <c r="A37" s="29">
        <v>45740</v>
      </c>
      <c r="B37" s="30" t="s">
        <v>26</v>
      </c>
      <c r="C37" s="14" t="s">
        <v>13</v>
      </c>
      <c r="D37" s="14" t="s">
        <v>11</v>
      </c>
      <c r="E37" s="13" t="s">
        <v>76</v>
      </c>
      <c r="F37" s="13" t="s">
        <v>35</v>
      </c>
      <c r="G37" s="12">
        <f>34386.6/1.081</f>
        <v>31809.990749306198</v>
      </c>
      <c r="I37" s="13" t="s">
        <v>195</v>
      </c>
    </row>
    <row r="38" spans="1:10" ht="30" x14ac:dyDescent="0.25">
      <c r="A38" s="17">
        <v>45740</v>
      </c>
      <c r="B38" s="14" t="s">
        <v>26</v>
      </c>
      <c r="C38" s="14" t="s">
        <v>13</v>
      </c>
      <c r="D38" s="14" t="s">
        <v>11</v>
      </c>
      <c r="E38" s="13" t="s">
        <v>123</v>
      </c>
      <c r="F38" s="13" t="s">
        <v>124</v>
      </c>
      <c r="G38" s="12">
        <f>10269.5/1.081</f>
        <v>9500</v>
      </c>
      <c r="I38" s="13" t="s">
        <v>125</v>
      </c>
    </row>
    <row r="39" spans="1:10" ht="30" x14ac:dyDescent="0.25">
      <c r="A39" s="17">
        <v>45747</v>
      </c>
      <c r="B39" s="14" t="s">
        <v>14</v>
      </c>
      <c r="C39" s="14" t="s">
        <v>13</v>
      </c>
      <c r="D39" s="14" t="s">
        <v>11</v>
      </c>
      <c r="E39" s="13" t="s">
        <v>126</v>
      </c>
      <c r="F39" s="13" t="s">
        <v>70</v>
      </c>
      <c r="G39" s="12">
        <f>6691.6/1.081</f>
        <v>6190.1942645698437</v>
      </c>
      <c r="I39" s="13" t="s">
        <v>127</v>
      </c>
    </row>
    <row r="40" spans="1:10" ht="30" x14ac:dyDescent="0.25">
      <c r="A40" s="17">
        <v>45747</v>
      </c>
      <c r="B40" s="14" t="s">
        <v>108</v>
      </c>
      <c r="C40" s="14" t="s">
        <v>13</v>
      </c>
      <c r="D40" s="14" t="s">
        <v>11</v>
      </c>
      <c r="E40" s="13" t="s">
        <v>128</v>
      </c>
      <c r="F40" s="13" t="s">
        <v>73</v>
      </c>
      <c r="G40" s="12">
        <f>6569.25/1.081</f>
        <v>6077.0120259019432</v>
      </c>
      <c r="H40" s="24"/>
      <c r="I40" s="13" t="s">
        <v>129</v>
      </c>
    </row>
    <row r="41" spans="1:10" ht="51" customHeight="1" x14ac:dyDescent="0.25">
      <c r="A41" s="17">
        <v>45754</v>
      </c>
      <c r="B41" s="14" t="s">
        <v>108</v>
      </c>
      <c r="C41" s="14" t="s">
        <v>13</v>
      </c>
      <c r="D41" s="14" t="s">
        <v>11</v>
      </c>
      <c r="E41" s="13" t="s">
        <v>63</v>
      </c>
      <c r="F41" s="13" t="s">
        <v>64</v>
      </c>
      <c r="G41" s="12">
        <f>39200/1.081</f>
        <v>36262.719703977797</v>
      </c>
      <c r="I41" s="13" t="s">
        <v>130</v>
      </c>
      <c r="J41" s="15"/>
    </row>
    <row r="42" spans="1:10" ht="30" x14ac:dyDescent="0.25">
      <c r="A42" s="17">
        <v>45754</v>
      </c>
      <c r="B42" s="14" t="s">
        <v>14</v>
      </c>
      <c r="C42" s="14" t="s">
        <v>13</v>
      </c>
      <c r="D42" s="14" t="s">
        <v>11</v>
      </c>
      <c r="E42" s="13" t="s">
        <v>69</v>
      </c>
      <c r="F42" s="13" t="s">
        <v>70</v>
      </c>
      <c r="G42" s="12">
        <f>8795/1.081</f>
        <v>8135.9851988899172</v>
      </c>
      <c r="I42" s="13" t="s">
        <v>131</v>
      </c>
    </row>
    <row r="43" spans="1:10" ht="30" x14ac:dyDescent="0.25">
      <c r="A43" s="17">
        <v>45754</v>
      </c>
      <c r="B43" s="14" t="s">
        <v>26</v>
      </c>
      <c r="C43" s="14" t="s">
        <v>13</v>
      </c>
      <c r="D43" s="14" t="s">
        <v>11</v>
      </c>
      <c r="E43" s="13" t="s">
        <v>66</v>
      </c>
      <c r="F43" s="13" t="s">
        <v>67</v>
      </c>
      <c r="G43" s="12">
        <f>9402.75/1.081</f>
        <v>8698.196114708604</v>
      </c>
      <c r="I43" s="13" t="s">
        <v>132</v>
      </c>
    </row>
    <row r="44" spans="1:10" ht="30" x14ac:dyDescent="0.25">
      <c r="A44" s="17">
        <v>45754</v>
      </c>
      <c r="B44" s="14" t="s">
        <v>26</v>
      </c>
      <c r="C44" s="14" t="s">
        <v>13</v>
      </c>
      <c r="D44" s="14" t="s">
        <v>11</v>
      </c>
      <c r="E44" s="13" t="s">
        <v>326</v>
      </c>
      <c r="F44" s="13" t="s">
        <v>68</v>
      </c>
      <c r="G44" s="12">
        <f>5434.4/1.081</f>
        <v>5027.1970397779833</v>
      </c>
      <c r="I44" s="13" t="s">
        <v>133</v>
      </c>
    </row>
    <row r="45" spans="1:10" ht="45" x14ac:dyDescent="0.25">
      <c r="A45" s="17">
        <v>45761</v>
      </c>
      <c r="B45" s="14" t="s">
        <v>26</v>
      </c>
      <c r="C45" s="14" t="s">
        <v>13</v>
      </c>
      <c r="D45" s="14" t="s">
        <v>11</v>
      </c>
      <c r="E45" s="13" t="s">
        <v>134</v>
      </c>
      <c r="F45" s="13" t="s">
        <v>60</v>
      </c>
      <c r="G45" s="12">
        <f>10085.75/1.081</f>
        <v>9330.0185013876053</v>
      </c>
      <c r="I45" s="13" t="s">
        <v>135</v>
      </c>
      <c r="J45" s="15"/>
    </row>
    <row r="46" spans="1:10" ht="45" x14ac:dyDescent="0.25">
      <c r="A46" s="17">
        <v>45761</v>
      </c>
      <c r="B46" s="14" t="s">
        <v>26</v>
      </c>
      <c r="C46" s="14" t="s">
        <v>13</v>
      </c>
      <c r="D46" s="14" t="s">
        <v>11</v>
      </c>
      <c r="E46" s="13" t="s">
        <v>61</v>
      </c>
      <c r="F46" s="13" t="s">
        <v>60</v>
      </c>
      <c r="G46" s="12">
        <f>139309.55/1.081</f>
        <v>128870.99907493062</v>
      </c>
      <c r="I46" s="13" t="s">
        <v>135</v>
      </c>
      <c r="J46" s="15"/>
    </row>
    <row r="47" spans="1:10" ht="30" x14ac:dyDescent="0.25">
      <c r="A47" s="17">
        <v>45761</v>
      </c>
      <c r="B47" s="14" t="s">
        <v>31</v>
      </c>
      <c r="C47" s="14" t="s">
        <v>249</v>
      </c>
      <c r="D47" s="14" t="s">
        <v>136</v>
      </c>
      <c r="E47" s="13" t="s">
        <v>327</v>
      </c>
      <c r="F47" s="13" t="s">
        <v>65</v>
      </c>
      <c r="G47" s="12">
        <f>212583.15/1.081</f>
        <v>196654.16281221091</v>
      </c>
      <c r="I47" s="13" t="s">
        <v>137</v>
      </c>
    </row>
    <row r="48" spans="1:10" ht="30" x14ac:dyDescent="0.25">
      <c r="A48" s="17">
        <v>45761</v>
      </c>
      <c r="B48" s="14" t="s">
        <v>26</v>
      </c>
      <c r="C48" s="14" t="s">
        <v>249</v>
      </c>
      <c r="D48" s="14" t="s">
        <v>136</v>
      </c>
      <c r="E48" s="13" t="s">
        <v>138</v>
      </c>
      <c r="F48" s="13" t="s">
        <v>62</v>
      </c>
      <c r="G48" s="12">
        <f>145124.45/1.081</f>
        <v>134250.18501387606</v>
      </c>
      <c r="I48" s="13" t="s">
        <v>139</v>
      </c>
      <c r="J48" s="15"/>
    </row>
    <row r="49" spans="1:10" ht="30" x14ac:dyDescent="0.25">
      <c r="A49" s="17">
        <v>45761</v>
      </c>
      <c r="B49" s="14" t="s">
        <v>26</v>
      </c>
      <c r="C49" s="14" t="s">
        <v>13</v>
      </c>
      <c r="D49" s="14" t="s">
        <v>11</v>
      </c>
      <c r="E49" s="13" t="s">
        <v>58</v>
      </c>
      <c r="F49" s="13" t="s">
        <v>59</v>
      </c>
      <c r="G49" s="12">
        <f>6007.65/1.081</f>
        <v>5557.4930619796487</v>
      </c>
      <c r="I49" s="13" t="s">
        <v>140</v>
      </c>
      <c r="J49" s="15"/>
    </row>
    <row r="50" spans="1:10" ht="45" x14ac:dyDescent="0.25">
      <c r="A50" s="17">
        <v>45775</v>
      </c>
      <c r="B50" s="14" t="s">
        <v>26</v>
      </c>
      <c r="C50" s="14" t="s">
        <v>13</v>
      </c>
      <c r="D50" s="14" t="s">
        <v>11</v>
      </c>
      <c r="E50" s="13" t="s">
        <v>56</v>
      </c>
      <c r="F50" s="13" t="s">
        <v>57</v>
      </c>
      <c r="G50" s="12">
        <f>11465.63/1.081</f>
        <v>10606.503237742831</v>
      </c>
      <c r="I50" s="13" t="s">
        <v>141</v>
      </c>
      <c r="J50" s="15"/>
    </row>
    <row r="51" spans="1:10" ht="30" x14ac:dyDescent="0.25">
      <c r="A51" s="17">
        <v>45782</v>
      </c>
      <c r="B51" s="14" t="s">
        <v>26</v>
      </c>
      <c r="C51" s="14" t="s">
        <v>13</v>
      </c>
      <c r="D51" s="14" t="s">
        <v>11</v>
      </c>
      <c r="E51" s="13" t="s">
        <v>142</v>
      </c>
      <c r="F51" s="13" t="s">
        <v>54</v>
      </c>
      <c r="G51" s="12">
        <f>45000/1.081</f>
        <v>41628.12210915819</v>
      </c>
      <c r="I51" s="13" t="s">
        <v>143</v>
      </c>
      <c r="J51" s="15"/>
    </row>
    <row r="52" spans="1:10" ht="45" x14ac:dyDescent="0.25">
      <c r="A52" s="17">
        <v>45782</v>
      </c>
      <c r="B52" s="14" t="s">
        <v>14</v>
      </c>
      <c r="C52" s="14" t="s">
        <v>13</v>
      </c>
      <c r="D52" s="14" t="s">
        <v>11</v>
      </c>
      <c r="E52" s="25" t="s">
        <v>55</v>
      </c>
      <c r="F52" s="13" t="s">
        <v>60</v>
      </c>
      <c r="G52" s="12">
        <f>16733.88/1.081</f>
        <v>15480.000000000002</v>
      </c>
      <c r="I52" s="13" t="s">
        <v>144</v>
      </c>
      <c r="J52" s="15"/>
    </row>
    <row r="53" spans="1:10" ht="45" x14ac:dyDescent="0.25">
      <c r="A53" s="17">
        <v>45782</v>
      </c>
      <c r="B53" s="14" t="s">
        <v>26</v>
      </c>
      <c r="C53" s="14" t="s">
        <v>13</v>
      </c>
      <c r="D53" s="14" t="s">
        <v>11</v>
      </c>
      <c r="E53" s="13" t="s">
        <v>49</v>
      </c>
      <c r="F53" s="13" t="s">
        <v>50</v>
      </c>
      <c r="G53" s="12">
        <f>9080.4/1.081</f>
        <v>8400</v>
      </c>
      <c r="I53" s="13" t="s">
        <v>145</v>
      </c>
      <c r="J53" s="15"/>
    </row>
    <row r="54" spans="1:10" ht="30" x14ac:dyDescent="0.25">
      <c r="A54" s="17">
        <v>45782</v>
      </c>
      <c r="B54" s="14" t="s">
        <v>108</v>
      </c>
      <c r="C54" s="14" t="s">
        <v>13</v>
      </c>
      <c r="D54" s="14" t="s">
        <v>11</v>
      </c>
      <c r="E54" s="13" t="s">
        <v>146</v>
      </c>
      <c r="F54" s="13" t="s">
        <v>147</v>
      </c>
      <c r="G54" s="12">
        <f>6000/1.081</f>
        <v>5550.4162812210916</v>
      </c>
      <c r="I54" s="13" t="s">
        <v>148</v>
      </c>
      <c r="J54" s="15"/>
    </row>
    <row r="55" spans="1:10" ht="45" x14ac:dyDescent="0.25">
      <c r="A55" s="17">
        <v>45786</v>
      </c>
      <c r="B55" s="14" t="s">
        <v>31</v>
      </c>
      <c r="C55" s="14" t="s">
        <v>13</v>
      </c>
      <c r="D55" s="14" t="s">
        <v>11</v>
      </c>
      <c r="E55" s="13" t="s">
        <v>53</v>
      </c>
      <c r="F55" s="13" t="s">
        <v>284</v>
      </c>
      <c r="G55" s="12">
        <f>13533.08/1.081</f>
        <v>12519.037927844589</v>
      </c>
      <c r="I55" s="13" t="s">
        <v>149</v>
      </c>
      <c r="J55" s="15"/>
    </row>
    <row r="56" spans="1:10" ht="30" x14ac:dyDescent="0.25">
      <c r="A56" s="17">
        <v>45796</v>
      </c>
      <c r="B56" s="14" t="s">
        <v>26</v>
      </c>
      <c r="C56" s="14" t="s">
        <v>15</v>
      </c>
      <c r="D56" s="14" t="s">
        <v>11</v>
      </c>
      <c r="E56" s="13" t="s">
        <v>51</v>
      </c>
      <c r="F56" s="13" t="s">
        <v>52</v>
      </c>
      <c r="G56" s="12">
        <f>13724.45/1.081</f>
        <v>12696.068455134136</v>
      </c>
      <c r="I56" s="13" t="s">
        <v>149</v>
      </c>
      <c r="J56" s="15"/>
    </row>
    <row r="57" spans="1:10" ht="45" x14ac:dyDescent="0.25">
      <c r="A57" s="17">
        <v>45796</v>
      </c>
      <c r="B57" s="14" t="s">
        <v>26</v>
      </c>
      <c r="C57" s="14" t="s">
        <v>13</v>
      </c>
      <c r="D57" s="14" t="s">
        <v>11</v>
      </c>
      <c r="E57" s="13" t="s">
        <v>47</v>
      </c>
      <c r="F57" s="13" t="s">
        <v>48</v>
      </c>
      <c r="G57" s="12">
        <f>8411.1/1.081</f>
        <v>7780.8510638297876</v>
      </c>
      <c r="I57" s="13" t="s">
        <v>150</v>
      </c>
      <c r="J57" s="26"/>
    </row>
    <row r="58" spans="1:10" ht="30" x14ac:dyDescent="0.25">
      <c r="A58" s="17">
        <v>45810</v>
      </c>
      <c r="B58" s="14" t="s">
        <v>151</v>
      </c>
      <c r="C58" s="14" t="s">
        <v>13</v>
      </c>
      <c r="D58" s="14" t="s">
        <v>11</v>
      </c>
      <c r="E58" s="13" t="s">
        <v>45</v>
      </c>
      <c r="F58" s="13" t="s">
        <v>46</v>
      </c>
      <c r="G58" s="12">
        <f>12279.1/1.081</f>
        <v>11359.019426456985</v>
      </c>
      <c r="I58" s="13" t="s">
        <v>152</v>
      </c>
      <c r="J58" s="15"/>
    </row>
    <row r="59" spans="1:10" ht="30" x14ac:dyDescent="0.25">
      <c r="A59" s="17">
        <v>45818</v>
      </c>
      <c r="B59" s="14" t="s">
        <v>14</v>
      </c>
      <c r="C59" s="14" t="s">
        <v>13</v>
      </c>
      <c r="D59" s="14" t="s">
        <v>11</v>
      </c>
      <c r="E59" s="13" t="s">
        <v>315</v>
      </c>
      <c r="F59" s="13" t="s">
        <v>42</v>
      </c>
      <c r="G59" s="12">
        <f>10525.5/1.081</f>
        <v>9736.8177613321004</v>
      </c>
      <c r="I59" s="13" t="s">
        <v>153</v>
      </c>
      <c r="J59" s="15"/>
    </row>
    <row r="60" spans="1:10" ht="30" x14ac:dyDescent="0.25">
      <c r="A60" s="17">
        <v>45818</v>
      </c>
      <c r="B60" s="14" t="s">
        <v>31</v>
      </c>
      <c r="C60" s="14" t="s">
        <v>13</v>
      </c>
      <c r="D60" s="14" t="s">
        <v>11</v>
      </c>
      <c r="E60" s="13" t="s">
        <v>43</v>
      </c>
      <c r="F60" s="13" t="s">
        <v>44</v>
      </c>
      <c r="G60" s="12">
        <f>8107.5/1.081</f>
        <v>7500</v>
      </c>
      <c r="I60" s="13" t="s">
        <v>154</v>
      </c>
      <c r="J60" s="15"/>
    </row>
    <row r="61" spans="1:10" ht="30" x14ac:dyDescent="0.25">
      <c r="A61" s="17">
        <v>45824</v>
      </c>
      <c r="B61" s="14" t="s">
        <v>14</v>
      </c>
      <c r="C61" s="14" t="s">
        <v>13</v>
      </c>
      <c r="D61" s="14" t="s">
        <v>11</v>
      </c>
      <c r="E61" s="13" t="s">
        <v>39</v>
      </c>
      <c r="F61" s="13" t="s">
        <v>40</v>
      </c>
      <c r="G61" s="12">
        <f>11667.05/1.081</f>
        <v>10792.830712303423</v>
      </c>
      <c r="I61" s="13" t="s">
        <v>155</v>
      </c>
      <c r="J61" s="15"/>
    </row>
    <row r="62" spans="1:10" ht="30" x14ac:dyDescent="0.25">
      <c r="A62" s="17">
        <v>45824</v>
      </c>
      <c r="B62" s="14" t="s">
        <v>14</v>
      </c>
      <c r="C62" s="14" t="s">
        <v>13</v>
      </c>
      <c r="D62" s="14" t="s">
        <v>11</v>
      </c>
      <c r="E62" s="13" t="s">
        <v>41</v>
      </c>
      <c r="F62" s="13" t="s">
        <v>42</v>
      </c>
      <c r="G62" s="12">
        <f>24792.35/1.081</f>
        <v>22934.643848288622</v>
      </c>
      <c r="I62" s="13" t="s">
        <v>156</v>
      </c>
      <c r="J62" s="15"/>
    </row>
    <row r="63" spans="1:10" ht="45" x14ac:dyDescent="0.25">
      <c r="A63" s="17">
        <v>45831</v>
      </c>
      <c r="B63" s="14" t="s">
        <v>31</v>
      </c>
      <c r="C63" s="14" t="s">
        <v>13</v>
      </c>
      <c r="D63" s="14" t="s">
        <v>11</v>
      </c>
      <c r="E63" s="27" t="s">
        <v>32</v>
      </c>
      <c r="F63" s="13" t="s">
        <v>30</v>
      </c>
      <c r="G63" s="12">
        <f>164772.67/1.081</f>
        <v>152426.15171137836</v>
      </c>
      <c r="I63" s="13" t="s">
        <v>157</v>
      </c>
      <c r="J63" s="15"/>
    </row>
    <row r="64" spans="1:10" ht="45" x14ac:dyDescent="0.25">
      <c r="A64" s="17">
        <v>45831</v>
      </c>
      <c r="B64" s="14" t="s">
        <v>31</v>
      </c>
      <c r="C64" s="14" t="s">
        <v>13</v>
      </c>
      <c r="D64" s="14" t="s">
        <v>11</v>
      </c>
      <c r="E64" s="13" t="s">
        <v>37</v>
      </c>
      <c r="F64" s="13" t="s">
        <v>38</v>
      </c>
      <c r="G64" s="12">
        <f>6972.05/1.081</f>
        <v>6449.6299722479189</v>
      </c>
      <c r="I64" s="13" t="s">
        <v>157</v>
      </c>
      <c r="J64" s="15"/>
    </row>
    <row r="65" spans="1:11" ht="30" x14ac:dyDescent="0.25">
      <c r="A65" s="17">
        <v>45831</v>
      </c>
      <c r="B65" s="14" t="s">
        <v>26</v>
      </c>
      <c r="C65" s="14" t="s">
        <v>13</v>
      </c>
      <c r="D65" s="14" t="s">
        <v>11</v>
      </c>
      <c r="E65" s="13" t="s">
        <v>36</v>
      </c>
      <c r="F65" s="13" t="s">
        <v>35</v>
      </c>
      <c r="G65" s="12">
        <f>27658.6/1.081</f>
        <v>25586.123959296947</v>
      </c>
      <c r="I65" s="13" t="s">
        <v>157</v>
      </c>
    </row>
    <row r="66" spans="1:11" ht="30" x14ac:dyDescent="0.25">
      <c r="A66" s="17">
        <v>45831</v>
      </c>
      <c r="B66" s="14" t="s">
        <v>26</v>
      </c>
      <c r="C66" s="14" t="s">
        <v>13</v>
      </c>
      <c r="D66" s="14" t="s">
        <v>11</v>
      </c>
      <c r="E66" s="27" t="s">
        <v>34</v>
      </c>
      <c r="F66" s="13" t="s">
        <v>35</v>
      </c>
      <c r="G66" s="12">
        <f>5411.4/1.081</f>
        <v>5005.9204440333024</v>
      </c>
      <c r="I66" s="13" t="s">
        <v>157</v>
      </c>
      <c r="J66" s="15"/>
    </row>
    <row r="67" spans="1:11" ht="30" x14ac:dyDescent="0.25">
      <c r="A67" s="17">
        <v>45838</v>
      </c>
      <c r="B67" s="14" t="s">
        <v>24</v>
      </c>
      <c r="C67" s="14" t="s">
        <v>13</v>
      </c>
      <c r="D67" s="14" t="s">
        <v>11</v>
      </c>
      <c r="E67" s="27" t="s">
        <v>158</v>
      </c>
      <c r="F67" s="13" t="s">
        <v>159</v>
      </c>
      <c r="G67" s="12">
        <v>33000</v>
      </c>
      <c r="I67" s="13" t="s">
        <v>160</v>
      </c>
      <c r="J67" s="15"/>
    </row>
    <row r="68" spans="1:11" ht="30" x14ac:dyDescent="0.25">
      <c r="A68" s="17">
        <v>45845</v>
      </c>
      <c r="B68" s="14" t="s">
        <v>108</v>
      </c>
      <c r="C68" s="14" t="s">
        <v>13</v>
      </c>
      <c r="D68" s="14" t="s">
        <v>11</v>
      </c>
      <c r="E68" s="14" t="s">
        <v>197</v>
      </c>
      <c r="F68" s="13" t="s">
        <v>23</v>
      </c>
      <c r="G68" s="12">
        <f>16863/1.081</f>
        <v>15599.444958371878</v>
      </c>
      <c r="I68" s="13" t="s">
        <v>198</v>
      </c>
      <c r="J68" s="15"/>
    </row>
    <row r="69" spans="1:11" ht="45" x14ac:dyDescent="0.25">
      <c r="A69" s="17">
        <v>45845</v>
      </c>
      <c r="B69" s="14" t="s">
        <v>26</v>
      </c>
      <c r="C69" s="14" t="s">
        <v>13</v>
      </c>
      <c r="D69" s="14" t="s">
        <v>11</v>
      </c>
      <c r="E69" s="27" t="s">
        <v>28</v>
      </c>
      <c r="F69" s="13" t="s">
        <v>29</v>
      </c>
      <c r="G69" s="12">
        <f>24560.32/1.081</f>
        <v>22720</v>
      </c>
      <c r="I69" s="13" t="s">
        <v>161</v>
      </c>
      <c r="J69" s="15"/>
    </row>
    <row r="70" spans="1:11" ht="45" x14ac:dyDescent="0.25">
      <c r="A70" s="17">
        <v>45845</v>
      </c>
      <c r="B70" s="28" t="s">
        <v>24</v>
      </c>
      <c r="C70" s="14" t="s">
        <v>13</v>
      </c>
      <c r="D70" s="14" t="s">
        <v>11</v>
      </c>
      <c r="E70" s="13" t="s">
        <v>25</v>
      </c>
      <c r="F70" s="13" t="s">
        <v>162</v>
      </c>
      <c r="G70" s="12">
        <f>16905.75/1.081</f>
        <v>15638.991674375578</v>
      </c>
      <c r="I70" s="13" t="s">
        <v>163</v>
      </c>
      <c r="J70" s="15"/>
    </row>
    <row r="71" spans="1:11" ht="30" x14ac:dyDescent="0.25">
      <c r="A71" s="17">
        <v>45845</v>
      </c>
      <c r="B71" s="14" t="s">
        <v>26</v>
      </c>
      <c r="C71" s="14" t="s">
        <v>13</v>
      </c>
      <c r="D71" s="14" t="s">
        <v>11</v>
      </c>
      <c r="E71" s="13" t="s">
        <v>27</v>
      </c>
      <c r="F71" s="13" t="s">
        <v>33</v>
      </c>
      <c r="G71" s="12">
        <f>98286.75/1.081</f>
        <v>90922.062904717852</v>
      </c>
      <c r="I71" s="13" t="s">
        <v>163</v>
      </c>
      <c r="J71" s="26"/>
      <c r="K71" s="26"/>
    </row>
    <row r="72" spans="1:11" ht="30" x14ac:dyDescent="0.25">
      <c r="A72" s="17">
        <v>45845</v>
      </c>
      <c r="B72" s="14" t="s">
        <v>26</v>
      </c>
      <c r="C72" s="14" t="s">
        <v>13</v>
      </c>
      <c r="D72" s="14" t="s">
        <v>11</v>
      </c>
      <c r="E72" s="13" t="s">
        <v>164</v>
      </c>
      <c r="F72" s="13" t="s">
        <v>165</v>
      </c>
      <c r="G72" s="12">
        <f>6243.86/1.081</f>
        <v>5776.0037002775207</v>
      </c>
      <c r="I72" s="13" t="s">
        <v>166</v>
      </c>
      <c r="J72" s="26"/>
      <c r="K72" s="26"/>
    </row>
    <row r="73" spans="1:11" ht="30" x14ac:dyDescent="0.25">
      <c r="A73" s="17">
        <v>45852</v>
      </c>
      <c r="B73" s="14" t="s">
        <v>31</v>
      </c>
      <c r="C73" s="14" t="s">
        <v>249</v>
      </c>
      <c r="D73" s="14" t="s">
        <v>136</v>
      </c>
      <c r="E73" s="13" t="s">
        <v>167</v>
      </c>
      <c r="F73" s="13" t="s">
        <v>168</v>
      </c>
      <c r="G73" s="12">
        <f>373519.4/1.081</f>
        <v>345531.35985198891</v>
      </c>
      <c r="I73" s="13" t="s">
        <v>169</v>
      </c>
      <c r="J73" s="26"/>
      <c r="K73" s="26"/>
    </row>
    <row r="74" spans="1:11" ht="30" x14ac:dyDescent="0.25">
      <c r="A74" s="17">
        <v>45852</v>
      </c>
      <c r="B74" s="14" t="s">
        <v>26</v>
      </c>
      <c r="C74" s="14" t="s">
        <v>249</v>
      </c>
      <c r="D74" s="14" t="s">
        <v>136</v>
      </c>
      <c r="E74" s="13" t="s">
        <v>170</v>
      </c>
      <c r="F74" s="13" t="s">
        <v>171</v>
      </c>
      <c r="G74" s="12">
        <f>191817.4/1.081</f>
        <v>177444.40333024977</v>
      </c>
      <c r="I74" s="13" t="s">
        <v>169</v>
      </c>
      <c r="J74" s="26"/>
      <c r="K74" s="26"/>
    </row>
    <row r="75" spans="1:11" ht="30" x14ac:dyDescent="0.25">
      <c r="A75" s="17">
        <v>45852</v>
      </c>
      <c r="B75" s="14" t="s">
        <v>26</v>
      </c>
      <c r="C75" s="14" t="s">
        <v>249</v>
      </c>
      <c r="D75" s="14" t="s">
        <v>136</v>
      </c>
      <c r="E75" s="13" t="s">
        <v>172</v>
      </c>
      <c r="F75" s="13" t="s">
        <v>38</v>
      </c>
      <c r="G75" s="12">
        <f>134503.6/1.081</f>
        <v>124425.16188714154</v>
      </c>
      <c r="I75" s="13" t="s">
        <v>169</v>
      </c>
      <c r="J75" s="26"/>
      <c r="K75" s="26"/>
    </row>
    <row r="76" spans="1:11" ht="30" x14ac:dyDescent="0.25">
      <c r="A76" s="17">
        <v>45852</v>
      </c>
      <c r="B76" s="14" t="s">
        <v>26</v>
      </c>
      <c r="C76" s="14" t="s">
        <v>249</v>
      </c>
      <c r="D76" s="14" t="s">
        <v>136</v>
      </c>
      <c r="E76" s="13" t="s">
        <v>173</v>
      </c>
      <c r="F76" s="13" t="s">
        <v>174</v>
      </c>
      <c r="G76" s="12">
        <f>86332.8/1.081</f>
        <v>79863.829787234048</v>
      </c>
      <c r="I76" s="13" t="s">
        <v>169</v>
      </c>
      <c r="J76" s="26"/>
      <c r="K76" s="26"/>
    </row>
    <row r="77" spans="1:11" ht="30" x14ac:dyDescent="0.25">
      <c r="A77" s="17">
        <v>45852</v>
      </c>
      <c r="B77" s="14" t="s">
        <v>26</v>
      </c>
      <c r="C77" s="14" t="s">
        <v>249</v>
      </c>
      <c r="D77" s="14" t="s">
        <v>136</v>
      </c>
      <c r="E77" s="13" t="s">
        <v>175</v>
      </c>
      <c r="F77" s="13" t="s">
        <v>176</v>
      </c>
      <c r="G77" s="12">
        <f>82258.7/1.081</f>
        <v>76095.004625346905</v>
      </c>
      <c r="I77" s="13" t="s">
        <v>169</v>
      </c>
      <c r="J77" s="26"/>
      <c r="K77" s="26"/>
    </row>
    <row r="78" spans="1:11" ht="30" x14ac:dyDescent="0.25">
      <c r="A78" s="17">
        <v>45852</v>
      </c>
      <c r="B78" s="14" t="s">
        <v>26</v>
      </c>
      <c r="C78" s="14" t="s">
        <v>13</v>
      </c>
      <c r="D78" s="14" t="s">
        <v>11</v>
      </c>
      <c r="E78" s="13" t="s">
        <v>316</v>
      </c>
      <c r="F78" s="13" t="s">
        <v>35</v>
      </c>
      <c r="G78" s="12">
        <f>9785.1/1.081</f>
        <v>9051.896392229417</v>
      </c>
      <c r="I78" s="13" t="s">
        <v>177</v>
      </c>
      <c r="J78" s="26"/>
      <c r="K78" s="26"/>
    </row>
    <row r="79" spans="1:11" ht="30" x14ac:dyDescent="0.25">
      <c r="A79" s="17">
        <v>45852</v>
      </c>
      <c r="B79" s="14" t="s">
        <v>26</v>
      </c>
      <c r="C79" s="14" t="s">
        <v>13</v>
      </c>
      <c r="D79" s="14" t="s">
        <v>11</v>
      </c>
      <c r="E79" s="13" t="s">
        <v>178</v>
      </c>
      <c r="F79" s="13" t="s">
        <v>179</v>
      </c>
      <c r="G79" s="12">
        <f>15478.4/1.081</f>
        <v>14318.593894542091</v>
      </c>
      <c r="I79" s="13" t="s">
        <v>180</v>
      </c>
      <c r="J79" s="26"/>
      <c r="K79" s="26"/>
    </row>
    <row r="80" spans="1:11" ht="30" x14ac:dyDescent="0.25">
      <c r="A80" s="17">
        <v>45852</v>
      </c>
      <c r="B80" s="14" t="s">
        <v>26</v>
      </c>
      <c r="C80" s="14" t="s">
        <v>13</v>
      </c>
      <c r="D80" s="14" t="s">
        <v>11</v>
      </c>
      <c r="E80" s="13" t="s">
        <v>181</v>
      </c>
      <c r="F80" s="13" t="s">
        <v>57</v>
      </c>
      <c r="G80" s="12">
        <f>10381.38/1.081</f>
        <v>9603.4967622571694</v>
      </c>
      <c r="I80" s="13" t="s">
        <v>182</v>
      </c>
      <c r="J80" s="26"/>
      <c r="K80" s="26"/>
    </row>
    <row r="81" spans="1:11" ht="30" x14ac:dyDescent="0.25">
      <c r="A81" s="17">
        <v>45859</v>
      </c>
      <c r="B81" s="14" t="s">
        <v>108</v>
      </c>
      <c r="C81" s="14" t="s">
        <v>13</v>
      </c>
      <c r="D81" s="14" t="s">
        <v>11</v>
      </c>
      <c r="E81" s="13" t="s">
        <v>199</v>
      </c>
      <c r="F81" s="13" t="s">
        <v>91</v>
      </c>
      <c r="G81" s="12">
        <f>7550/1.081</f>
        <v>6984.2738205365404</v>
      </c>
      <c r="I81" s="13" t="s">
        <v>200</v>
      </c>
      <c r="J81" s="26"/>
      <c r="K81" s="26"/>
    </row>
    <row r="82" spans="1:11" ht="30" x14ac:dyDescent="0.25">
      <c r="A82" s="17">
        <v>45859</v>
      </c>
      <c r="B82" s="14" t="s">
        <v>108</v>
      </c>
      <c r="C82" s="14" t="s">
        <v>13</v>
      </c>
      <c r="D82" s="14" t="s">
        <v>11</v>
      </c>
      <c r="E82" s="13" t="s">
        <v>183</v>
      </c>
      <c r="F82" s="13" t="s">
        <v>73</v>
      </c>
      <c r="G82" s="12">
        <f>50000/1.081</f>
        <v>46253.469010175766</v>
      </c>
      <c r="I82" s="13" t="s">
        <v>184</v>
      </c>
      <c r="J82" s="26"/>
      <c r="K82" s="26"/>
    </row>
    <row r="83" spans="1:11" ht="30" x14ac:dyDescent="0.25">
      <c r="A83" s="17">
        <v>45859</v>
      </c>
      <c r="B83" s="14" t="s">
        <v>14</v>
      </c>
      <c r="C83" s="14" t="s">
        <v>13</v>
      </c>
      <c r="D83" s="14" t="s">
        <v>11</v>
      </c>
      <c r="E83" s="13" t="s">
        <v>185</v>
      </c>
      <c r="F83" s="13" t="s">
        <v>42</v>
      </c>
      <c r="G83" s="12">
        <f>(24552.85+24552.85)/1.081</f>
        <v>45426.179463459761</v>
      </c>
      <c r="I83" s="13" t="s">
        <v>186</v>
      </c>
      <c r="J83" s="26"/>
      <c r="K83" s="26"/>
    </row>
    <row r="84" spans="1:11" ht="30" x14ac:dyDescent="0.25">
      <c r="A84" s="17">
        <v>45866</v>
      </c>
      <c r="B84" s="14" t="s">
        <v>26</v>
      </c>
      <c r="C84" s="14" t="s">
        <v>13</v>
      </c>
      <c r="D84" s="14" t="s">
        <v>11</v>
      </c>
      <c r="E84" s="13" t="s">
        <v>201</v>
      </c>
      <c r="F84" s="13" t="s">
        <v>29</v>
      </c>
      <c r="G84" s="12">
        <f>5945.5/1.081</f>
        <v>5500</v>
      </c>
      <c r="I84" s="13" t="s">
        <v>202</v>
      </c>
      <c r="J84" s="26"/>
      <c r="K84" s="26"/>
    </row>
    <row r="85" spans="1:11" ht="30" x14ac:dyDescent="0.25">
      <c r="A85" s="17">
        <v>45866</v>
      </c>
      <c r="B85" s="14" t="s">
        <v>31</v>
      </c>
      <c r="C85" s="14" t="s">
        <v>13</v>
      </c>
      <c r="D85" s="14" t="s">
        <v>11</v>
      </c>
      <c r="E85" s="13" t="s">
        <v>203</v>
      </c>
      <c r="F85" s="13" t="s">
        <v>65</v>
      </c>
      <c r="G85" s="12">
        <f>35224.1/1.081</f>
        <v>32584.736355226643</v>
      </c>
      <c r="I85" s="13" t="s">
        <v>204</v>
      </c>
      <c r="J85" s="26"/>
      <c r="K85" s="26"/>
    </row>
    <row r="86" spans="1:11" ht="30" x14ac:dyDescent="0.25">
      <c r="A86" s="17">
        <v>45866</v>
      </c>
      <c r="B86" s="14" t="s">
        <v>26</v>
      </c>
      <c r="C86" s="14" t="s">
        <v>13</v>
      </c>
      <c r="D86" s="14" t="s">
        <v>11</v>
      </c>
      <c r="E86" s="13" t="s">
        <v>205</v>
      </c>
      <c r="F86" s="13" t="s">
        <v>35</v>
      </c>
      <c r="G86" s="12">
        <f>9785.1/1.081</f>
        <v>9051.896392229417</v>
      </c>
      <c r="I86" s="13" t="s">
        <v>206</v>
      </c>
      <c r="J86" s="26"/>
      <c r="K86" s="26"/>
    </row>
    <row r="87" spans="1:11" ht="30" x14ac:dyDescent="0.25">
      <c r="A87" s="17">
        <v>45866</v>
      </c>
      <c r="B87" s="14" t="s">
        <v>26</v>
      </c>
      <c r="C87" s="14" t="s">
        <v>13</v>
      </c>
      <c r="D87" s="14" t="s">
        <v>11</v>
      </c>
      <c r="E87" s="13" t="s">
        <v>207</v>
      </c>
      <c r="F87" s="13" t="s">
        <v>208</v>
      </c>
      <c r="G87" s="12">
        <f>6462/1.081</f>
        <v>5977.7983348751159</v>
      </c>
      <c r="I87" s="13" t="s">
        <v>209</v>
      </c>
      <c r="J87" s="26"/>
      <c r="K87" s="26"/>
    </row>
    <row r="88" spans="1:11" ht="30" x14ac:dyDescent="0.25">
      <c r="A88" s="17">
        <v>45887</v>
      </c>
      <c r="B88" s="14" t="s">
        <v>108</v>
      </c>
      <c r="C88" s="14" t="s">
        <v>13</v>
      </c>
      <c r="D88" s="14" t="s">
        <v>11</v>
      </c>
      <c r="E88" s="13" t="s">
        <v>210</v>
      </c>
      <c r="F88" s="13" t="s">
        <v>211</v>
      </c>
      <c r="G88" s="12">
        <v>21392.880000000001</v>
      </c>
      <c r="I88" s="13" t="s">
        <v>212</v>
      </c>
      <c r="J88" s="26"/>
      <c r="K88" s="26"/>
    </row>
    <row r="89" spans="1:11" ht="30" x14ac:dyDescent="0.25">
      <c r="A89" s="17">
        <v>45887</v>
      </c>
      <c r="B89" s="14" t="s">
        <v>26</v>
      </c>
      <c r="C89" s="14" t="s">
        <v>13</v>
      </c>
      <c r="D89" s="14" t="s">
        <v>11</v>
      </c>
      <c r="E89" s="13" t="s">
        <v>218</v>
      </c>
      <c r="F89" s="13" t="s">
        <v>219</v>
      </c>
      <c r="G89" s="12">
        <f>5512.4/1.081</f>
        <v>5099.3524514338578</v>
      </c>
      <c r="I89" s="13" t="s">
        <v>220</v>
      </c>
      <c r="J89" s="26"/>
      <c r="K89" s="26"/>
    </row>
    <row r="90" spans="1:11" ht="45" x14ac:dyDescent="0.25">
      <c r="A90" s="17">
        <v>45887</v>
      </c>
      <c r="B90" s="14" t="s">
        <v>26</v>
      </c>
      <c r="C90" s="14" t="s">
        <v>13</v>
      </c>
      <c r="D90" s="14" t="s">
        <v>11</v>
      </c>
      <c r="E90" s="13" t="s">
        <v>213</v>
      </c>
      <c r="F90" s="13" t="s">
        <v>214</v>
      </c>
      <c r="G90" s="12">
        <f>18939.15/1.081</f>
        <v>17520.027752081409</v>
      </c>
      <c r="I90" s="13" t="s">
        <v>215</v>
      </c>
      <c r="J90" s="26"/>
      <c r="K90" s="26"/>
    </row>
    <row r="91" spans="1:11" ht="30" x14ac:dyDescent="0.25">
      <c r="A91" s="17">
        <v>45887</v>
      </c>
      <c r="B91" s="14" t="s">
        <v>26</v>
      </c>
      <c r="C91" s="14" t="s">
        <v>13</v>
      </c>
      <c r="D91" s="14" t="s">
        <v>11</v>
      </c>
      <c r="E91" s="13" t="s">
        <v>216</v>
      </c>
      <c r="F91" s="13" t="s">
        <v>96</v>
      </c>
      <c r="G91" s="12">
        <f>6896.9/1.081</f>
        <v>6380.1110083256244</v>
      </c>
      <c r="I91" s="13" t="s">
        <v>217</v>
      </c>
      <c r="J91" s="26"/>
      <c r="K91" s="26"/>
    </row>
    <row r="92" spans="1:11" ht="45" x14ac:dyDescent="0.25">
      <c r="A92" s="17">
        <v>45901</v>
      </c>
      <c r="B92" s="14" t="s">
        <v>108</v>
      </c>
      <c r="C92" s="14" t="s">
        <v>13</v>
      </c>
      <c r="D92" s="14" t="s">
        <v>11</v>
      </c>
      <c r="E92" s="13" t="s">
        <v>221</v>
      </c>
      <c r="F92" s="13" t="s">
        <v>244</v>
      </c>
      <c r="G92" s="12">
        <v>5976</v>
      </c>
      <c r="I92" s="13" t="s">
        <v>222</v>
      </c>
    </row>
    <row r="93" spans="1:11" ht="30" x14ac:dyDescent="0.25">
      <c r="A93" s="17">
        <v>45915</v>
      </c>
      <c r="B93" s="14" t="s">
        <v>14</v>
      </c>
      <c r="C93" s="14" t="s">
        <v>13</v>
      </c>
      <c r="D93" s="14" t="s">
        <v>11</v>
      </c>
      <c r="E93" s="13" t="s">
        <v>223</v>
      </c>
      <c r="F93" s="13" t="s">
        <v>246</v>
      </c>
      <c r="G93" s="12">
        <f>(8085.9+1973.9)/1.081</f>
        <v>9306.0129509713224</v>
      </c>
      <c r="I93" s="13" t="s">
        <v>245</v>
      </c>
    </row>
    <row r="94" spans="1:11" ht="30" x14ac:dyDescent="0.25">
      <c r="A94" s="17">
        <v>45915</v>
      </c>
      <c r="B94" s="14" t="s">
        <v>14</v>
      </c>
      <c r="C94" s="14" t="s">
        <v>15</v>
      </c>
      <c r="D94" s="14" t="s">
        <v>11</v>
      </c>
      <c r="E94" s="13" t="s">
        <v>224</v>
      </c>
      <c r="F94" s="13" t="s">
        <v>225</v>
      </c>
      <c r="G94" s="12">
        <f>23329.36/1.081</f>
        <v>21581.276595744683</v>
      </c>
      <c r="I94" s="13" t="s">
        <v>226</v>
      </c>
    </row>
    <row r="95" spans="1:11" ht="30" x14ac:dyDescent="0.25">
      <c r="A95" s="17">
        <v>45915</v>
      </c>
      <c r="B95" s="14" t="s">
        <v>26</v>
      </c>
      <c r="C95" s="14" t="s">
        <v>15</v>
      </c>
      <c r="D95" s="14" t="s">
        <v>11</v>
      </c>
      <c r="E95" s="13" t="s">
        <v>228</v>
      </c>
      <c r="F95" s="13" t="s">
        <v>190</v>
      </c>
      <c r="G95" s="12">
        <f>6486/1.081</f>
        <v>6000</v>
      </c>
      <c r="I95" s="13" t="s">
        <v>227</v>
      </c>
    </row>
    <row r="96" spans="1:11" ht="30" x14ac:dyDescent="0.25">
      <c r="A96" s="17">
        <v>45929</v>
      </c>
      <c r="B96" s="14" t="s">
        <v>31</v>
      </c>
      <c r="C96" s="14" t="s">
        <v>247</v>
      </c>
      <c r="D96" s="14" t="s">
        <v>248</v>
      </c>
      <c r="E96" s="13" t="s">
        <v>229</v>
      </c>
      <c r="F96" s="13" t="s">
        <v>230</v>
      </c>
      <c r="G96" s="12">
        <f>105000/1.081</f>
        <v>97132.284921369108</v>
      </c>
      <c r="I96" s="13" t="s">
        <v>231</v>
      </c>
    </row>
    <row r="97" spans="1:9" ht="30" x14ac:dyDescent="0.25">
      <c r="A97" s="17">
        <v>45929</v>
      </c>
      <c r="B97" s="14" t="s">
        <v>26</v>
      </c>
      <c r="C97" s="14" t="s">
        <v>15</v>
      </c>
      <c r="D97" s="14" t="s">
        <v>11</v>
      </c>
      <c r="E97" s="13" t="s">
        <v>232</v>
      </c>
      <c r="F97" s="13" t="s">
        <v>35</v>
      </c>
      <c r="G97" s="12">
        <f>39860.7/1.081</f>
        <v>36873.913043478256</v>
      </c>
      <c r="I97" s="13" t="s">
        <v>231</v>
      </c>
    </row>
    <row r="98" spans="1:9" ht="30" x14ac:dyDescent="0.25">
      <c r="A98" s="17">
        <v>45929</v>
      </c>
      <c r="B98" s="14" t="s">
        <v>14</v>
      </c>
      <c r="C98" s="14" t="s">
        <v>15</v>
      </c>
      <c r="D98" s="14" t="s">
        <v>11</v>
      </c>
      <c r="E98" s="13" t="s">
        <v>233</v>
      </c>
      <c r="F98" s="13" t="s">
        <v>35</v>
      </c>
      <c r="G98" s="12">
        <f>20241.73/1.081</f>
        <v>18725.004625346901</v>
      </c>
      <c r="I98" s="13" t="s">
        <v>231</v>
      </c>
    </row>
    <row r="99" spans="1:9" ht="30" x14ac:dyDescent="0.25">
      <c r="A99" s="17">
        <v>45929</v>
      </c>
      <c r="B99" s="14" t="s">
        <v>14</v>
      </c>
      <c r="C99" s="14" t="s">
        <v>15</v>
      </c>
      <c r="D99" s="14" t="s">
        <v>11</v>
      </c>
      <c r="E99" s="13" t="s">
        <v>234</v>
      </c>
      <c r="F99" s="13" t="s">
        <v>235</v>
      </c>
      <c r="G99" s="12">
        <f>7722.7/1.081</f>
        <v>7144.0333024976871</v>
      </c>
      <c r="I99" s="13" t="s">
        <v>231</v>
      </c>
    </row>
    <row r="100" spans="1:9" ht="30" x14ac:dyDescent="0.25">
      <c r="A100" s="17">
        <v>45929</v>
      </c>
      <c r="B100" s="14" t="s">
        <v>31</v>
      </c>
      <c r="C100" s="14" t="s">
        <v>15</v>
      </c>
      <c r="D100" s="14" t="s">
        <v>11</v>
      </c>
      <c r="E100" s="13" t="s">
        <v>236</v>
      </c>
      <c r="F100" s="13" t="s">
        <v>65</v>
      </c>
      <c r="G100" s="12">
        <f>52023.15/1.081</f>
        <v>48125.023126734508</v>
      </c>
      <c r="I100" s="13" t="s">
        <v>237</v>
      </c>
    </row>
    <row r="101" spans="1:9" ht="30" x14ac:dyDescent="0.25">
      <c r="A101" s="17">
        <v>45929</v>
      </c>
      <c r="B101" s="14" t="s">
        <v>31</v>
      </c>
      <c r="C101" s="14" t="s">
        <v>15</v>
      </c>
      <c r="D101" s="14" t="s">
        <v>11</v>
      </c>
      <c r="E101" s="13" t="s">
        <v>238</v>
      </c>
      <c r="F101" s="13" t="s">
        <v>65</v>
      </c>
      <c r="G101" s="12">
        <f>16327.6/1.081</f>
        <v>15104.162812210916</v>
      </c>
      <c r="I101" s="13" t="s">
        <v>239</v>
      </c>
    </row>
    <row r="102" spans="1:9" ht="30" x14ac:dyDescent="0.25">
      <c r="A102" s="17">
        <v>45929</v>
      </c>
      <c r="B102" s="14" t="s">
        <v>26</v>
      </c>
      <c r="C102" s="14" t="s">
        <v>15</v>
      </c>
      <c r="D102" s="14" t="s">
        <v>11</v>
      </c>
      <c r="E102" s="13" t="s">
        <v>240</v>
      </c>
      <c r="F102" s="13" t="s">
        <v>62</v>
      </c>
      <c r="G102" s="12">
        <f>8926.35/1.081</f>
        <v>8257.4930619796487</v>
      </c>
      <c r="I102" s="13" t="s">
        <v>239</v>
      </c>
    </row>
    <row r="103" spans="1:9" ht="30" x14ac:dyDescent="0.25">
      <c r="A103" s="17">
        <v>45929</v>
      </c>
      <c r="B103" s="14" t="s">
        <v>31</v>
      </c>
      <c r="C103" s="14" t="s">
        <v>15</v>
      </c>
      <c r="D103" s="14" t="s">
        <v>11</v>
      </c>
      <c r="E103" s="13" t="s">
        <v>317</v>
      </c>
      <c r="F103" s="13" t="s">
        <v>65</v>
      </c>
      <c r="G103" s="12">
        <f>17268.05/1.081</f>
        <v>15974.144310823312</v>
      </c>
      <c r="I103" s="13" t="s">
        <v>241</v>
      </c>
    </row>
    <row r="104" spans="1:9" ht="30" x14ac:dyDescent="0.25">
      <c r="A104" s="17">
        <v>45929</v>
      </c>
      <c r="B104" s="14" t="s">
        <v>26</v>
      </c>
      <c r="C104" s="14" t="s">
        <v>15</v>
      </c>
      <c r="D104" s="14" t="s">
        <v>11</v>
      </c>
      <c r="E104" s="13" t="s">
        <v>243</v>
      </c>
      <c r="F104" s="13" t="s">
        <v>35</v>
      </c>
      <c r="G104" s="12">
        <f>10060.7/1.081</f>
        <v>9306.8455134135074</v>
      </c>
      <c r="I104" s="13" t="s">
        <v>242</v>
      </c>
    </row>
    <row r="105" spans="1:9" ht="30" x14ac:dyDescent="0.25">
      <c r="A105" s="17">
        <v>45943</v>
      </c>
      <c r="B105" s="14" t="s">
        <v>14</v>
      </c>
      <c r="C105" s="14" t="s">
        <v>15</v>
      </c>
      <c r="D105" s="14" t="s">
        <v>11</v>
      </c>
      <c r="E105" s="13" t="s">
        <v>318</v>
      </c>
      <c r="F105" s="13" t="s">
        <v>250</v>
      </c>
      <c r="G105" s="12">
        <f>42300/1.081</f>
        <v>39130.434782608696</v>
      </c>
      <c r="I105" s="13" t="s">
        <v>255</v>
      </c>
    </row>
    <row r="106" spans="1:9" ht="30" x14ac:dyDescent="0.25">
      <c r="A106" s="17">
        <v>45950</v>
      </c>
      <c r="B106" s="14" t="s">
        <v>31</v>
      </c>
      <c r="C106" s="14" t="s">
        <v>15</v>
      </c>
      <c r="D106" s="14" t="s">
        <v>11</v>
      </c>
      <c r="E106" s="13" t="s">
        <v>251</v>
      </c>
      <c r="F106" s="13" t="s">
        <v>65</v>
      </c>
      <c r="G106" s="12">
        <f>27838.45/1.081</f>
        <v>25752.497687326551</v>
      </c>
      <c r="I106" s="13" t="s">
        <v>254</v>
      </c>
    </row>
    <row r="107" spans="1:9" ht="30" x14ac:dyDescent="0.25">
      <c r="A107" s="17">
        <v>45950</v>
      </c>
      <c r="B107" s="14" t="s">
        <v>26</v>
      </c>
      <c r="C107" s="14" t="s">
        <v>15</v>
      </c>
      <c r="D107" s="14" t="s">
        <v>11</v>
      </c>
      <c r="E107" s="13" t="s">
        <v>252</v>
      </c>
      <c r="F107" s="13" t="s">
        <v>253</v>
      </c>
      <c r="G107" s="12">
        <f>27444.45/1.081</f>
        <v>25388.020351526367</v>
      </c>
      <c r="I107" s="13" t="s">
        <v>254</v>
      </c>
    </row>
    <row r="108" spans="1:9" ht="30" x14ac:dyDescent="0.25">
      <c r="A108" s="17">
        <v>45957</v>
      </c>
      <c r="B108" s="14" t="s">
        <v>108</v>
      </c>
      <c r="C108" s="14" t="s">
        <v>247</v>
      </c>
      <c r="D108" s="14" t="s">
        <v>248</v>
      </c>
      <c r="E108" s="13" t="s">
        <v>256</v>
      </c>
      <c r="F108" s="13" t="s">
        <v>257</v>
      </c>
      <c r="G108" s="12">
        <f>89841.9/1.081</f>
        <v>83109.990749306191</v>
      </c>
      <c r="I108" s="13" t="s">
        <v>258</v>
      </c>
    </row>
    <row r="109" spans="1:9" ht="30" x14ac:dyDescent="0.25">
      <c r="A109" s="17">
        <v>45957</v>
      </c>
      <c r="B109" s="14" t="s">
        <v>26</v>
      </c>
      <c r="C109" s="14" t="s">
        <v>15</v>
      </c>
      <c r="D109" s="14" t="s">
        <v>11</v>
      </c>
      <c r="E109" s="13" t="s">
        <v>259</v>
      </c>
      <c r="F109" s="13" t="s">
        <v>62</v>
      </c>
      <c r="G109" s="12">
        <f>20119.6/1.081</f>
        <v>18612.025901942645</v>
      </c>
      <c r="I109" s="13" t="s">
        <v>260</v>
      </c>
    </row>
    <row r="110" spans="1:9" ht="30" x14ac:dyDescent="0.25">
      <c r="A110" s="17">
        <v>45957</v>
      </c>
      <c r="B110" s="14" t="s">
        <v>31</v>
      </c>
      <c r="C110" s="14" t="s">
        <v>15</v>
      </c>
      <c r="D110" s="14" t="s">
        <v>11</v>
      </c>
      <c r="E110" s="13" t="s">
        <v>261</v>
      </c>
      <c r="F110" s="13" t="s">
        <v>22</v>
      </c>
      <c r="G110" s="12">
        <f>35541.1/1.081</f>
        <v>32877.983348751157</v>
      </c>
      <c r="I110" s="13" t="s">
        <v>260</v>
      </c>
    </row>
    <row r="111" spans="1:9" ht="30" x14ac:dyDescent="0.25">
      <c r="A111" s="17">
        <v>45964</v>
      </c>
      <c r="B111" s="14" t="s">
        <v>26</v>
      </c>
      <c r="C111" s="14" t="s">
        <v>247</v>
      </c>
      <c r="D111" s="14" t="s">
        <v>248</v>
      </c>
      <c r="E111" s="13" t="s">
        <v>264</v>
      </c>
      <c r="F111" s="13" t="s">
        <v>262</v>
      </c>
      <c r="G111" s="12">
        <f>23671.75/1.081</f>
        <v>21898.011100832562</v>
      </c>
      <c r="I111" s="13" t="s">
        <v>263</v>
      </c>
    </row>
    <row r="112" spans="1:9" ht="30" x14ac:dyDescent="0.25">
      <c r="A112" s="17">
        <v>45964</v>
      </c>
      <c r="B112" s="14" t="s">
        <v>26</v>
      </c>
      <c r="C112" s="14" t="s">
        <v>15</v>
      </c>
      <c r="D112" s="14" t="s">
        <v>11</v>
      </c>
      <c r="E112" s="13" t="s">
        <v>265</v>
      </c>
      <c r="F112" s="13" t="s">
        <v>266</v>
      </c>
      <c r="G112" s="12">
        <f>30496.95/1.081</f>
        <v>28211.794634597598</v>
      </c>
      <c r="I112" s="13" t="s">
        <v>263</v>
      </c>
    </row>
    <row r="113" spans="1:9" ht="30" x14ac:dyDescent="0.25">
      <c r="A113" s="17">
        <v>45964</v>
      </c>
      <c r="B113" s="14" t="s">
        <v>26</v>
      </c>
      <c r="C113" s="14" t="s">
        <v>15</v>
      </c>
      <c r="D113" s="14" t="s">
        <v>11</v>
      </c>
      <c r="E113" s="13" t="s">
        <v>267</v>
      </c>
      <c r="F113" s="13" t="s">
        <v>268</v>
      </c>
      <c r="G113" s="12">
        <f>21055.7/1.081</f>
        <v>19477.983348751157</v>
      </c>
      <c r="I113" s="13" t="s">
        <v>263</v>
      </c>
    </row>
    <row r="114" spans="1:9" ht="30" x14ac:dyDescent="0.25">
      <c r="A114" s="17">
        <v>45964</v>
      </c>
      <c r="B114" s="14" t="s">
        <v>26</v>
      </c>
      <c r="C114" s="14" t="s">
        <v>15</v>
      </c>
      <c r="D114" s="14" t="s">
        <v>11</v>
      </c>
      <c r="E114" s="13" t="s">
        <v>269</v>
      </c>
      <c r="F114" s="13" t="s">
        <v>270</v>
      </c>
      <c r="G114" s="12">
        <f>12461.77/1.081</f>
        <v>11528.00185013876</v>
      </c>
      <c r="I114" s="13" t="s">
        <v>263</v>
      </c>
    </row>
    <row r="115" spans="1:9" ht="30" x14ac:dyDescent="0.25">
      <c r="A115" s="17">
        <v>45964</v>
      </c>
      <c r="B115" s="14" t="s">
        <v>26</v>
      </c>
      <c r="C115" s="14" t="s">
        <v>15</v>
      </c>
      <c r="D115" s="14" t="s">
        <v>11</v>
      </c>
      <c r="E115" s="13" t="s">
        <v>271</v>
      </c>
      <c r="F115" s="13" t="s">
        <v>272</v>
      </c>
      <c r="G115" s="12">
        <f>35686/1.081</f>
        <v>33012.025901942645</v>
      </c>
      <c r="I115" s="13" t="s">
        <v>263</v>
      </c>
    </row>
    <row r="116" spans="1:9" ht="30" x14ac:dyDescent="0.25">
      <c r="A116" s="17">
        <v>45964</v>
      </c>
      <c r="B116" s="14" t="s">
        <v>14</v>
      </c>
      <c r="C116" s="14" t="s">
        <v>15</v>
      </c>
      <c r="D116" s="14" t="s">
        <v>11</v>
      </c>
      <c r="E116" s="13" t="s">
        <v>273</v>
      </c>
      <c r="F116" s="13" t="s">
        <v>274</v>
      </c>
      <c r="G116" s="12">
        <f>25012.2/1.081</f>
        <v>23138.020351526367</v>
      </c>
      <c r="I116" s="13" t="s">
        <v>263</v>
      </c>
    </row>
    <row r="117" spans="1:9" ht="45" x14ac:dyDescent="0.25">
      <c r="A117" s="17">
        <v>45964</v>
      </c>
      <c r="B117" s="14" t="s">
        <v>108</v>
      </c>
      <c r="C117" s="14" t="s">
        <v>15</v>
      </c>
      <c r="D117" s="14" t="s">
        <v>11</v>
      </c>
      <c r="E117" s="13" t="s">
        <v>275</v>
      </c>
      <c r="F117" s="13" t="s">
        <v>276</v>
      </c>
      <c r="G117" s="12">
        <v>32400</v>
      </c>
      <c r="I117" s="13" t="s">
        <v>280</v>
      </c>
    </row>
    <row r="118" spans="1:9" ht="45" x14ac:dyDescent="0.25">
      <c r="A118" s="17">
        <v>45964</v>
      </c>
      <c r="B118" s="14" t="s">
        <v>14</v>
      </c>
      <c r="C118" s="14" t="s">
        <v>15</v>
      </c>
      <c r="D118" s="14" t="s">
        <v>11</v>
      </c>
      <c r="E118" s="13" t="s">
        <v>277</v>
      </c>
      <c r="F118" s="13" t="s">
        <v>278</v>
      </c>
      <c r="G118" s="12">
        <f>15624.35/1.081</f>
        <v>14453.607770582794</v>
      </c>
      <c r="I118" s="13" t="s">
        <v>279</v>
      </c>
    </row>
    <row r="119" spans="1:9" ht="45" x14ac:dyDescent="0.25">
      <c r="A119" s="17">
        <v>45964</v>
      </c>
      <c r="B119" s="14" t="s">
        <v>14</v>
      </c>
      <c r="C119" s="14" t="s">
        <v>15</v>
      </c>
      <c r="D119" s="14" t="s">
        <v>11</v>
      </c>
      <c r="E119" s="13" t="s">
        <v>277</v>
      </c>
      <c r="F119" s="13" t="s">
        <v>278</v>
      </c>
      <c r="G119" s="12">
        <f>7535.85/1.081</f>
        <v>6971.1840888066608</v>
      </c>
      <c r="I119" s="13" t="s">
        <v>279</v>
      </c>
    </row>
    <row r="120" spans="1:9" ht="30" x14ac:dyDescent="0.25">
      <c r="A120" s="17">
        <v>45964</v>
      </c>
      <c r="B120" s="14" t="s">
        <v>14</v>
      </c>
      <c r="C120" s="14" t="s">
        <v>15</v>
      </c>
      <c r="D120" s="14" t="s">
        <v>11</v>
      </c>
      <c r="E120" s="13" t="s">
        <v>281</v>
      </c>
      <c r="F120" s="13" t="s">
        <v>282</v>
      </c>
      <c r="G120" s="12">
        <f>34930/1.081</f>
        <v>32312.673450508788</v>
      </c>
      <c r="I120" s="13" t="s">
        <v>283</v>
      </c>
    </row>
    <row r="121" spans="1:9" ht="30" x14ac:dyDescent="0.25">
      <c r="A121" s="17">
        <v>45964</v>
      </c>
      <c r="B121" s="14" t="s">
        <v>31</v>
      </c>
      <c r="C121" s="14" t="s">
        <v>15</v>
      </c>
      <c r="D121" s="14" t="s">
        <v>11</v>
      </c>
      <c r="E121" s="13" t="s">
        <v>319</v>
      </c>
      <c r="F121" s="13" t="s">
        <v>284</v>
      </c>
      <c r="G121" s="12">
        <f>6810.3/1.081</f>
        <v>6300</v>
      </c>
      <c r="I121" s="13" t="s">
        <v>285</v>
      </c>
    </row>
    <row r="122" spans="1:9" ht="30" x14ac:dyDescent="0.25">
      <c r="A122" s="17">
        <v>45971</v>
      </c>
      <c r="B122" s="14" t="s">
        <v>26</v>
      </c>
      <c r="C122" s="14" t="s">
        <v>15</v>
      </c>
      <c r="D122" s="14" t="s">
        <v>11</v>
      </c>
      <c r="E122" s="13" t="s">
        <v>320</v>
      </c>
      <c r="F122" s="13" t="s">
        <v>35</v>
      </c>
      <c r="G122" s="12">
        <f>15967.8/1.081</f>
        <v>14771.322849213691</v>
      </c>
      <c r="I122" s="13" t="s">
        <v>286</v>
      </c>
    </row>
    <row r="123" spans="1:9" ht="30" x14ac:dyDescent="0.25">
      <c r="A123" s="17">
        <v>45971</v>
      </c>
      <c r="B123" s="14" t="s">
        <v>26</v>
      </c>
      <c r="C123" s="14" t="s">
        <v>15</v>
      </c>
      <c r="D123" s="14" t="s">
        <v>11</v>
      </c>
      <c r="E123" s="13" t="s">
        <v>287</v>
      </c>
      <c r="F123" s="13" t="s">
        <v>62</v>
      </c>
      <c r="G123" s="12">
        <f>7906.65/1.081</f>
        <v>7314.1998149861238</v>
      </c>
      <c r="I123" s="13" t="s">
        <v>288</v>
      </c>
    </row>
    <row r="124" spans="1:9" ht="30" x14ac:dyDescent="0.25">
      <c r="A124" s="17">
        <v>45971</v>
      </c>
      <c r="B124" s="14" t="s">
        <v>26</v>
      </c>
      <c r="C124" s="14" t="s">
        <v>15</v>
      </c>
      <c r="D124" s="14" t="s">
        <v>11</v>
      </c>
      <c r="E124" s="13" t="s">
        <v>289</v>
      </c>
      <c r="F124" s="13" t="s">
        <v>290</v>
      </c>
      <c r="G124" s="12">
        <f>16254.35/1.081</f>
        <v>15036.40148011101</v>
      </c>
      <c r="I124" s="13" t="s">
        <v>291</v>
      </c>
    </row>
    <row r="125" spans="1:9" x14ac:dyDescent="0.25">
      <c r="A125" s="17">
        <v>45971</v>
      </c>
      <c r="B125" s="14" t="s">
        <v>108</v>
      </c>
      <c r="C125" s="14" t="s">
        <v>15</v>
      </c>
      <c r="D125" s="14" t="s">
        <v>11</v>
      </c>
      <c r="E125" s="13" t="s">
        <v>292</v>
      </c>
      <c r="F125" s="13" t="s">
        <v>321</v>
      </c>
      <c r="G125" s="12">
        <v>8000</v>
      </c>
      <c r="I125" s="13" t="s">
        <v>293</v>
      </c>
    </row>
    <row r="126" spans="1:9" ht="30" x14ac:dyDescent="0.25">
      <c r="A126" s="17">
        <v>45971</v>
      </c>
      <c r="B126" s="14" t="s">
        <v>14</v>
      </c>
      <c r="C126" s="14" t="s">
        <v>15</v>
      </c>
      <c r="D126" s="14" t="s">
        <v>11</v>
      </c>
      <c r="E126" s="13" t="s">
        <v>294</v>
      </c>
      <c r="F126" s="13" t="s">
        <v>42</v>
      </c>
      <c r="G126" s="12">
        <f>7000/1.081</f>
        <v>6475.4856614246073</v>
      </c>
      <c r="I126" s="13" t="s">
        <v>295</v>
      </c>
    </row>
    <row r="127" spans="1:9" ht="45" x14ac:dyDescent="0.25">
      <c r="A127" s="17">
        <v>45971</v>
      </c>
      <c r="B127" s="14" t="s">
        <v>108</v>
      </c>
      <c r="C127" s="14" t="s">
        <v>15</v>
      </c>
      <c r="D127" s="14" t="s">
        <v>11</v>
      </c>
      <c r="E127" s="13" t="s">
        <v>296</v>
      </c>
      <c r="F127" s="13" t="s">
        <v>162</v>
      </c>
      <c r="G127" s="12">
        <f>8310.7/1.081</f>
        <v>7687.9740980573551</v>
      </c>
      <c r="I127" s="13" t="s">
        <v>297</v>
      </c>
    </row>
    <row r="128" spans="1:9" ht="30" x14ac:dyDescent="0.25">
      <c r="A128" s="17">
        <v>45978</v>
      </c>
      <c r="B128" s="14" t="s">
        <v>26</v>
      </c>
      <c r="C128" s="14" t="s">
        <v>15</v>
      </c>
      <c r="D128" s="14" t="s">
        <v>11</v>
      </c>
      <c r="E128" s="13" t="s">
        <v>298</v>
      </c>
      <c r="F128" s="13" t="s">
        <v>99</v>
      </c>
      <c r="G128" s="12">
        <f>7752.8/1.081</f>
        <v>7171.8778908418135</v>
      </c>
      <c r="I128" s="13" t="s">
        <v>299</v>
      </c>
    </row>
    <row r="129" spans="1:9" ht="45" x14ac:dyDescent="0.25">
      <c r="A129" s="17">
        <v>45992</v>
      </c>
      <c r="B129" s="14" t="s">
        <v>108</v>
      </c>
      <c r="C129" s="14" t="s">
        <v>15</v>
      </c>
      <c r="D129" s="14" t="s">
        <v>11</v>
      </c>
      <c r="E129" s="13" t="s">
        <v>311</v>
      </c>
      <c r="F129" s="13" t="s">
        <v>308</v>
      </c>
      <c r="G129" s="12">
        <f>29749.1/1.081</f>
        <v>27519.981498612397</v>
      </c>
      <c r="I129" s="13" t="s">
        <v>309</v>
      </c>
    </row>
    <row r="130" spans="1:9" ht="30" x14ac:dyDescent="0.25">
      <c r="A130" s="17">
        <v>45992</v>
      </c>
      <c r="B130" s="14" t="s">
        <v>108</v>
      </c>
      <c r="C130" s="14" t="s">
        <v>15</v>
      </c>
      <c r="D130" s="14" t="s">
        <v>11</v>
      </c>
      <c r="E130" s="13" t="s">
        <v>322</v>
      </c>
      <c r="F130" s="13" t="s">
        <v>313</v>
      </c>
      <c r="G130" s="12">
        <f>11134.3/1.081</f>
        <v>10300</v>
      </c>
      <c r="I130" s="13" t="s">
        <v>309</v>
      </c>
    </row>
    <row r="131" spans="1:9" ht="30" x14ac:dyDescent="0.25">
      <c r="A131" s="17">
        <v>45992</v>
      </c>
      <c r="B131" s="14" t="s">
        <v>108</v>
      </c>
      <c r="C131" s="14" t="s">
        <v>15</v>
      </c>
      <c r="D131" s="14" t="s">
        <v>11</v>
      </c>
      <c r="E131" s="13" t="s">
        <v>310</v>
      </c>
      <c r="F131" s="13" t="s">
        <v>312</v>
      </c>
      <c r="G131" s="12">
        <f>111343/1.081</f>
        <v>103000</v>
      </c>
      <c r="I131" s="13" t="s">
        <v>309</v>
      </c>
    </row>
    <row r="132" spans="1:9" ht="30" x14ac:dyDescent="0.25">
      <c r="A132" s="17">
        <v>45992</v>
      </c>
      <c r="B132" s="14" t="s">
        <v>108</v>
      </c>
      <c r="C132" s="14" t="s">
        <v>15</v>
      </c>
      <c r="D132" s="14" t="s">
        <v>11</v>
      </c>
      <c r="E132" s="13" t="s">
        <v>322</v>
      </c>
      <c r="F132" s="13" t="s">
        <v>314</v>
      </c>
      <c r="G132" s="12">
        <f>49826/1.081</f>
        <v>46092.506938020357</v>
      </c>
      <c r="I132" s="13" t="s">
        <v>309</v>
      </c>
    </row>
    <row r="133" spans="1:9" ht="44.25" customHeight="1" x14ac:dyDescent="0.25">
      <c r="A133" s="17">
        <v>46006</v>
      </c>
      <c r="B133" s="14" t="s">
        <v>108</v>
      </c>
      <c r="C133" s="14" t="s">
        <v>15</v>
      </c>
      <c r="D133" s="14" t="s">
        <v>11</v>
      </c>
      <c r="E133" s="13" t="s">
        <v>300</v>
      </c>
      <c r="F133" s="13" t="s">
        <v>301</v>
      </c>
      <c r="G133" s="12">
        <f>13911.7/1.081</f>
        <v>12869.287696577245</v>
      </c>
      <c r="I133" s="13" t="s">
        <v>302</v>
      </c>
    </row>
    <row r="134" spans="1:9" ht="30" x14ac:dyDescent="0.25">
      <c r="A134" s="17">
        <v>46006</v>
      </c>
      <c r="B134" s="14" t="s">
        <v>108</v>
      </c>
      <c r="C134" s="14" t="s">
        <v>15</v>
      </c>
      <c r="D134" s="14" t="s">
        <v>11</v>
      </c>
      <c r="E134" s="13" t="s">
        <v>303</v>
      </c>
      <c r="F134" s="13" t="s">
        <v>304</v>
      </c>
      <c r="G134" s="12">
        <f>8239.65/1.081</f>
        <v>7622.2479185938946</v>
      </c>
      <c r="I134" s="13" t="s">
        <v>305</v>
      </c>
    </row>
    <row r="135" spans="1:9" ht="30" x14ac:dyDescent="0.25">
      <c r="A135" s="17">
        <v>46006</v>
      </c>
      <c r="B135" s="14" t="s">
        <v>26</v>
      </c>
      <c r="C135" s="14" t="s">
        <v>15</v>
      </c>
      <c r="D135" s="14" t="s">
        <v>11</v>
      </c>
      <c r="E135" s="13" t="s">
        <v>306</v>
      </c>
      <c r="F135" s="13" t="s">
        <v>29</v>
      </c>
      <c r="G135" s="12">
        <f>10745.15/1.081</f>
        <v>9940.0092506938017</v>
      </c>
      <c r="I135" s="13" t="s">
        <v>307</v>
      </c>
    </row>
    <row r="136" spans="1:9" x14ac:dyDescent="0.25">
      <c r="A136" s="29"/>
      <c r="B136" s="34"/>
      <c r="C136" s="34"/>
      <c r="D136" s="34"/>
      <c r="E136" s="6"/>
      <c r="F136" s="6"/>
      <c r="G136" s="16"/>
      <c r="I136" s="6"/>
    </row>
    <row r="137" spans="1:9" x14ac:dyDescent="0.25">
      <c r="A137" s="29"/>
      <c r="B137" s="34"/>
      <c r="C137" s="34"/>
      <c r="D137" s="34"/>
      <c r="E137" s="6"/>
      <c r="F137" s="6"/>
      <c r="G137" s="16"/>
      <c r="I137" s="6"/>
    </row>
    <row r="141" spans="1:9" x14ac:dyDescent="0.25">
      <c r="A141" t="s">
        <v>10</v>
      </c>
      <c r="B141" s="39">
        <v>46049</v>
      </c>
    </row>
  </sheetData>
  <autoFilter ref="A11:G11" xr:uid="{00000000-0009-0000-0000-000000000000}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&amp;Rpagina &amp;P di  &amp;N</oddHeader>
    <oddFooter xml:space="preserve">&amp;L&amp;Z&amp;F/&amp;A&amp;R&amp;D
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5</xdr:col>
                <xdr:colOff>600075</xdr:colOff>
                <xdr:row>1</xdr:row>
                <xdr:rowOff>66675</xdr:rowOff>
              </from>
              <to>
                <xdr:col>5</xdr:col>
                <xdr:colOff>1476375</xdr:colOff>
                <xdr:row>6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Lista ufficiale</vt:lpstr>
      <vt:lpstr>'Lista ufficiale'!Titoli_stampa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Mazzali</dc:creator>
  <cp:lastModifiedBy>Samantha Martinetti</cp:lastModifiedBy>
  <cp:lastPrinted>2026-01-26T08:53:52Z</cp:lastPrinted>
  <dcterms:created xsi:type="dcterms:W3CDTF">2023-03-26T22:06:42Z</dcterms:created>
  <dcterms:modified xsi:type="dcterms:W3CDTF">2026-01-27T07:11:34Z</dcterms:modified>
</cp:coreProperties>
</file>